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업무\학습지원센터\2016\예산서\"/>
    </mc:Choice>
  </mc:AlternateContent>
  <bookViews>
    <workbookView xWindow="-105" yWindow="-15" windowWidth="23835" windowHeight="12420" activeTab="1"/>
  </bookViews>
  <sheets>
    <sheet name="세입.세출 총괄표" sheetId="9" r:id="rId1"/>
    <sheet name="2016년 세입세출" sheetId="10" r:id="rId2"/>
    <sheet name="Sheet1" sheetId="1" r:id="rId3"/>
    <sheet name="Sheet2" sheetId="2" r:id="rId4"/>
    <sheet name="Sheet3" sheetId="3" r:id="rId5"/>
  </sheets>
  <definedNames>
    <definedName name="_xlnm.Print_Area" localSheetId="1">'2016년 세입세출'!$A$1:$R$207</definedName>
    <definedName name="_xlnm.Print_Area" localSheetId="0">'세입.세출 총괄표'!$A$1:$N$54</definedName>
  </definedNames>
  <calcPr calcId="152511"/>
</workbook>
</file>

<file path=xl/calcChain.xml><?xml version="1.0" encoding="utf-8"?>
<calcChain xmlns="http://schemas.openxmlformats.org/spreadsheetml/2006/main">
  <c r="K22" i="9" l="1"/>
  <c r="G106" i="10" l="1"/>
  <c r="F107" i="10"/>
  <c r="G110" i="10"/>
  <c r="G132" i="10"/>
  <c r="G120" i="10"/>
  <c r="G118" i="10"/>
  <c r="R11" i="10" l="1"/>
  <c r="R15" i="10"/>
  <c r="R13" i="10"/>
  <c r="E142" i="10" l="1"/>
  <c r="E141" i="10"/>
  <c r="R165" i="10"/>
  <c r="R162" i="10"/>
  <c r="R153" i="10"/>
  <c r="R147" i="10"/>
  <c r="R157" i="10" s="1"/>
  <c r="R144" i="10"/>
  <c r="R156" i="10" s="1"/>
  <c r="R148" i="10"/>
  <c r="R149" i="10"/>
  <c r="R150" i="10"/>
  <c r="R154" i="10"/>
  <c r="F149" i="10" l="1"/>
  <c r="F143" i="10"/>
  <c r="E91" i="10"/>
  <c r="G143" i="10" l="1"/>
  <c r="H143" i="10" s="1"/>
  <c r="R110" i="10"/>
  <c r="E106" i="10"/>
  <c r="E107" i="10"/>
  <c r="E118" i="10"/>
  <c r="E119" i="10"/>
  <c r="E191" i="10" l="1"/>
  <c r="F110" i="10"/>
  <c r="R168" i="10" l="1"/>
  <c r="R61" i="10"/>
  <c r="R106" i="10" l="1"/>
  <c r="R171" i="10"/>
  <c r="F170" i="10" s="1"/>
  <c r="R120" i="10"/>
  <c r="R186" i="10"/>
  <c r="R188" i="10"/>
  <c r="R187" i="10"/>
  <c r="R185" i="10"/>
  <c r="R184" i="10"/>
  <c r="R183" i="10"/>
  <c r="R182" i="10"/>
  <c r="R181" i="10"/>
  <c r="R180" i="10"/>
  <c r="R178" i="10"/>
  <c r="R177" i="10"/>
  <c r="R194" i="10"/>
  <c r="R126" i="10"/>
  <c r="R122" i="10"/>
  <c r="R121" i="10"/>
  <c r="R130" i="10" l="1"/>
  <c r="R62" i="10"/>
  <c r="R45" i="10" l="1"/>
  <c r="R42" i="10"/>
  <c r="R41" i="10"/>
  <c r="R39" i="10"/>
  <c r="R35" i="10"/>
  <c r="R33" i="10"/>
  <c r="F206" i="10" l="1"/>
  <c r="G206" i="10" s="1"/>
  <c r="H206" i="10" s="1"/>
  <c r="F204" i="10"/>
  <c r="G204" i="10" s="1"/>
  <c r="H204" i="10" s="1"/>
  <c r="E202" i="10"/>
  <c r="E200" i="10" s="1"/>
  <c r="R201" i="10"/>
  <c r="R196" i="10"/>
  <c r="R195" i="10"/>
  <c r="R193" i="10"/>
  <c r="E192" i="10"/>
  <c r="R179" i="10"/>
  <c r="R189" i="10" s="1"/>
  <c r="F175" i="10" s="1"/>
  <c r="G175" i="10" s="1"/>
  <c r="R176" i="10"/>
  <c r="R175" i="10"/>
  <c r="R166" i="10"/>
  <c r="R167" i="10" s="1"/>
  <c r="F166" i="10" s="1"/>
  <c r="R161" i="10"/>
  <c r="R160" i="10"/>
  <c r="R159" i="10"/>
  <c r="R158" i="10"/>
  <c r="R134" i="10"/>
  <c r="R137" i="10" s="1"/>
  <c r="F134" i="10" s="1"/>
  <c r="R133" i="10"/>
  <c r="R132" i="10"/>
  <c r="R128" i="10"/>
  <c r="R127" i="10"/>
  <c r="R125" i="10"/>
  <c r="R124" i="10"/>
  <c r="R123" i="10"/>
  <c r="R108" i="10"/>
  <c r="R109" i="10" s="1"/>
  <c r="R102" i="10"/>
  <c r="F101" i="10" s="1"/>
  <c r="G100" i="10" s="1"/>
  <c r="H100" i="10" s="1"/>
  <c r="R98" i="10"/>
  <c r="R97" i="10"/>
  <c r="R96" i="10"/>
  <c r="R95" i="10"/>
  <c r="R94" i="10"/>
  <c r="R93" i="10"/>
  <c r="F90" i="10"/>
  <c r="R70" i="10"/>
  <c r="R69" i="10"/>
  <c r="R64" i="10"/>
  <c r="R63" i="10"/>
  <c r="R60" i="10"/>
  <c r="R59" i="10"/>
  <c r="R57" i="10"/>
  <c r="R56" i="10"/>
  <c r="R49" i="10"/>
  <c r="R48" i="10"/>
  <c r="R47" i="10"/>
  <c r="R46" i="10"/>
  <c r="R44" i="10"/>
  <c r="R43" i="10"/>
  <c r="R40" i="10"/>
  <c r="R38" i="10"/>
  <c r="R37" i="10"/>
  <c r="R36" i="10"/>
  <c r="R34" i="10"/>
  <c r="R32" i="10"/>
  <c r="R31" i="10"/>
  <c r="R30" i="10"/>
  <c r="R29" i="10"/>
  <c r="R28" i="10"/>
  <c r="R27" i="10"/>
  <c r="R26" i="10"/>
  <c r="E25" i="10"/>
  <c r="E24" i="10"/>
  <c r="E22" i="10" s="1"/>
  <c r="F16" i="10"/>
  <c r="G15" i="10" s="1"/>
  <c r="F14" i="10"/>
  <c r="G13" i="10" s="1"/>
  <c r="F12" i="10"/>
  <c r="F9" i="10"/>
  <c r="F5" i="10" s="1"/>
  <c r="E6" i="10"/>
  <c r="E5" i="10"/>
  <c r="L44" i="9"/>
  <c r="K44" i="9"/>
  <c r="K10" i="9"/>
  <c r="F93" i="10" l="1"/>
  <c r="G92" i="10" s="1"/>
  <c r="H92" i="10" s="1"/>
  <c r="G166" i="10"/>
  <c r="H166" i="10" s="1"/>
  <c r="R164" i="10"/>
  <c r="R68" i="10"/>
  <c r="J73" i="10" s="1"/>
  <c r="J84" i="10" s="1"/>
  <c r="R84" i="10" s="1"/>
  <c r="R190" i="10"/>
  <c r="R142" i="10" s="1"/>
  <c r="J50" i="10"/>
  <c r="R50" i="10" s="1"/>
  <c r="R52" i="10" s="1"/>
  <c r="F26" i="10" s="1"/>
  <c r="G26" i="10" s="1"/>
  <c r="H26" i="10" s="1"/>
  <c r="R113" i="10"/>
  <c r="F112" i="10" s="1"/>
  <c r="F161" i="10"/>
  <c r="F142" i="10" s="1"/>
  <c r="R131" i="10"/>
  <c r="R119" i="10" s="1"/>
  <c r="R136" i="10"/>
  <c r="R118" i="10" s="1"/>
  <c r="R170" i="10"/>
  <c r="F168" i="10" s="1"/>
  <c r="G168" i="10" s="1"/>
  <c r="H168" i="10" s="1"/>
  <c r="J58" i="10"/>
  <c r="R199" i="10"/>
  <c r="F6" i="10"/>
  <c r="G5" i="10" s="1"/>
  <c r="H5" i="10" s="1"/>
  <c r="R71" i="10"/>
  <c r="F71" i="10" s="1"/>
  <c r="G69" i="10" s="1"/>
  <c r="H69" i="10" s="1"/>
  <c r="E116" i="10"/>
  <c r="E114" i="10" s="1"/>
  <c r="E20" i="10" s="1"/>
  <c r="E23" i="10"/>
  <c r="R198" i="10"/>
  <c r="F193" i="10" s="1"/>
  <c r="E117" i="10"/>
  <c r="E115" i="10" s="1"/>
  <c r="F202" i="10"/>
  <c r="F200" i="10" s="1"/>
  <c r="R99" i="10"/>
  <c r="R91" i="10" s="1"/>
  <c r="F109" i="10"/>
  <c r="G9" i="10"/>
  <c r="G202" i="10"/>
  <c r="G11" i="10"/>
  <c r="M53" i="9"/>
  <c r="M54" i="9"/>
  <c r="L52" i="9"/>
  <c r="K52" i="9"/>
  <c r="K38" i="9"/>
  <c r="M28" i="9"/>
  <c r="K8" i="9"/>
  <c r="L22" i="9"/>
  <c r="M26" i="9"/>
  <c r="N26" i="9" s="1"/>
  <c r="M24" i="9"/>
  <c r="N24" i="9" s="1"/>
  <c r="K6" i="9" l="1"/>
  <c r="F158" i="10"/>
  <c r="F141" i="10" s="1"/>
  <c r="R141" i="10"/>
  <c r="R192" i="10"/>
  <c r="F196" i="10"/>
  <c r="F192" i="10" s="1"/>
  <c r="R107" i="10"/>
  <c r="H110" i="10"/>
  <c r="G108" i="10"/>
  <c r="H108" i="10" s="1"/>
  <c r="F191" i="10"/>
  <c r="R58" i="10"/>
  <c r="R67" i="10" s="1"/>
  <c r="J72" i="10" s="1"/>
  <c r="F132" i="10"/>
  <c r="H132" i="10" s="1"/>
  <c r="R191" i="10"/>
  <c r="F95" i="10"/>
  <c r="F91" i="10" s="1"/>
  <c r="R73" i="10"/>
  <c r="F120" i="10"/>
  <c r="E21" i="10"/>
  <c r="F127" i="10"/>
  <c r="F119" i="10" s="1"/>
  <c r="H175" i="10"/>
  <c r="H202" i="10"/>
  <c r="G200" i="10"/>
  <c r="H200" i="10" s="1"/>
  <c r="J86" i="10"/>
  <c r="R86" i="10" s="1"/>
  <c r="J85" i="10"/>
  <c r="R85" i="10" s="1"/>
  <c r="J87" i="10"/>
  <c r="R87" i="10" s="1"/>
  <c r="F57" i="10"/>
  <c r="G158" i="10"/>
  <c r="H158" i="10" s="1"/>
  <c r="F106" i="10"/>
  <c r="M52" i="9"/>
  <c r="D6" i="9"/>
  <c r="F18" i="9"/>
  <c r="G18" i="9" s="1"/>
  <c r="G193" i="10" l="1"/>
  <c r="H193" i="10" s="1"/>
  <c r="F118" i="10"/>
  <c r="H118" i="10" s="1"/>
  <c r="G94" i="10"/>
  <c r="H94" i="10" s="1"/>
  <c r="G191" i="10"/>
  <c r="H191" i="10" s="1"/>
  <c r="H106" i="10"/>
  <c r="J79" i="10"/>
  <c r="J80" i="10" s="1"/>
  <c r="R80" i="10" s="1"/>
  <c r="F56" i="10"/>
  <c r="G56" i="10" s="1"/>
  <c r="H56" i="10" s="1"/>
  <c r="R116" i="10"/>
  <c r="R114" i="10" s="1"/>
  <c r="R117" i="10"/>
  <c r="R115" i="10" s="1"/>
  <c r="R75" i="10"/>
  <c r="F117" i="10"/>
  <c r="F115" i="10" s="1"/>
  <c r="H120" i="10"/>
  <c r="G90" i="10"/>
  <c r="H90" i="10" s="1"/>
  <c r="G141" i="10"/>
  <c r="H141" i="10" s="1"/>
  <c r="R89" i="10"/>
  <c r="F81" i="10" s="1"/>
  <c r="M50" i="9"/>
  <c r="N50" i="9" s="1"/>
  <c r="M48" i="9"/>
  <c r="N48" i="9" s="1"/>
  <c r="M46" i="9"/>
  <c r="N46" i="9" s="1"/>
  <c r="M44" i="9"/>
  <c r="N44" i="9" s="1"/>
  <c r="M42" i="9"/>
  <c r="N42" i="9" s="1"/>
  <c r="M40" i="9"/>
  <c r="N40" i="9" s="1"/>
  <c r="L38" i="9"/>
  <c r="M36" i="9"/>
  <c r="N36" i="9" s="1"/>
  <c r="M30" i="9"/>
  <c r="N30" i="9" s="1"/>
  <c r="M22" i="9"/>
  <c r="N22" i="9" s="1"/>
  <c r="M20" i="9"/>
  <c r="N20" i="9" s="1"/>
  <c r="M18" i="9"/>
  <c r="N18" i="9" s="1"/>
  <c r="M16" i="9"/>
  <c r="N16" i="9" s="1"/>
  <c r="M14" i="9"/>
  <c r="N14" i="9" s="1"/>
  <c r="F16" i="9"/>
  <c r="F14" i="9"/>
  <c r="G14" i="9" s="1"/>
  <c r="M12" i="9"/>
  <c r="N12" i="9" s="1"/>
  <c r="L10" i="9"/>
  <c r="M10" i="9" s="1"/>
  <c r="N10" i="9" s="1"/>
  <c r="F10" i="9"/>
  <c r="G10" i="9" s="1"/>
  <c r="E6" i="9"/>
  <c r="F116" i="10" l="1"/>
  <c r="G116" i="10" s="1"/>
  <c r="H116" i="10" s="1"/>
  <c r="J81" i="10"/>
  <c r="R81" i="10" s="1"/>
  <c r="J82" i="10"/>
  <c r="R82" i="10" s="1"/>
  <c r="R79" i="10"/>
  <c r="R72" i="10"/>
  <c r="R74" i="10" s="1"/>
  <c r="F72" i="10" s="1"/>
  <c r="R25" i="10"/>
  <c r="R23" i="10" s="1"/>
  <c r="R21" i="10" s="1"/>
  <c r="F74" i="10"/>
  <c r="F25" i="10" s="1"/>
  <c r="F23" i="10" s="1"/>
  <c r="F21" i="10" s="1"/>
  <c r="M38" i="9"/>
  <c r="N38" i="9" s="1"/>
  <c r="F6" i="9"/>
  <c r="G6" i="9" s="1"/>
  <c r="L8" i="9"/>
  <c r="L6" i="9" s="1"/>
  <c r="F114" i="10" l="1"/>
  <c r="G114" i="10" s="1"/>
  <c r="H114" i="10" s="1"/>
  <c r="R88" i="10"/>
  <c r="F79" i="10" s="1"/>
  <c r="G79" i="10" s="1"/>
  <c r="H79" i="10" s="1"/>
  <c r="G72" i="10"/>
  <c r="H72" i="10" s="1"/>
  <c r="M6" i="9"/>
  <c r="N6" i="9" s="1"/>
  <c r="M8" i="9"/>
  <c r="N8" i="9" s="1"/>
  <c r="F24" i="10" l="1"/>
  <c r="F22" i="10" s="1"/>
  <c r="F20" i="10" s="1"/>
  <c r="G20" i="10" s="1"/>
  <c r="H20" i="10" s="1"/>
  <c r="R24" i="10"/>
  <c r="R22" i="10" s="1"/>
  <c r="R20" i="10" s="1"/>
  <c r="G24" i="10" l="1"/>
  <c r="H24" i="10" s="1"/>
  <c r="G22" i="10"/>
  <c r="H22" i="10" s="1"/>
</calcChain>
</file>

<file path=xl/comments1.xml><?xml version="1.0" encoding="utf-8"?>
<comments xmlns="http://schemas.openxmlformats.org/spreadsheetml/2006/main">
  <authors>
    <author>YOOL</author>
  </authors>
  <commentList>
    <comment ref="R13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보조금반납</t>
        </r>
        <r>
          <rPr>
            <sz val="9"/>
            <color indexed="81"/>
            <rFont val="Tahoma"/>
            <family val="2"/>
          </rPr>
          <t>(12</t>
        </r>
        <r>
          <rPr>
            <sz val="9"/>
            <color indexed="81"/>
            <rFont val="돋움"/>
            <family val="3"/>
            <charset val="129"/>
          </rPr>
          <t>월이자미포함</t>
        </r>
        <r>
          <rPr>
            <sz val="9"/>
            <color indexed="81"/>
            <rFont val="Tahoma"/>
            <family val="2"/>
          </rPr>
          <t>)+</t>
        </r>
        <r>
          <rPr>
            <sz val="9"/>
            <color indexed="81"/>
            <rFont val="돋움"/>
            <family val="3"/>
            <charset val="129"/>
          </rPr>
          <t>이월금예상</t>
        </r>
        <r>
          <rPr>
            <sz val="9"/>
            <color indexed="81"/>
            <rFont val="Tahoma"/>
            <family val="2"/>
          </rPr>
          <t>40</t>
        </r>
        <r>
          <rPr>
            <sz val="9"/>
            <color indexed="81"/>
            <rFont val="돋움"/>
            <family val="3"/>
            <charset val="129"/>
          </rPr>
          <t>만원</t>
        </r>
      </text>
    </comment>
    <comment ref="R58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개인별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계산한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조정</t>
        </r>
      </text>
    </comment>
    <comment ref="L65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통상임금</t>
        </r>
        <r>
          <rPr>
            <sz val="9"/>
            <color indexed="81"/>
            <rFont val="Tahoma"/>
            <family val="2"/>
          </rPr>
          <t xml:space="preserve"> = 1,695,820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기본급평균</t>
        </r>
        <r>
          <rPr>
            <sz val="9"/>
            <color indexed="81"/>
            <rFont val="Tahoma"/>
            <family val="2"/>
          </rPr>
          <t xml:space="preserve"> / 12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/ 13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>)</t>
        </r>
      </text>
    </comment>
    <comment ref="J73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자부담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퇴직금으로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넣음
</t>
        </r>
      </text>
    </comment>
    <comment ref="J84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시간외수당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  <comment ref="E91" authorId="0" shapeId="0">
      <text>
        <r>
          <rPr>
            <b/>
            <sz val="9"/>
            <color indexed="81"/>
            <rFont val="Tahoma"/>
            <family val="2"/>
          </rPr>
          <t>YOOL: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삭제한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항목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제세공과금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차량운영비</t>
        </r>
      </text>
    </comment>
  </commentList>
</comments>
</file>

<file path=xl/sharedStrings.xml><?xml version="1.0" encoding="utf-8"?>
<sst xmlns="http://schemas.openxmlformats.org/spreadsheetml/2006/main" count="785" uniqueCount="311">
  <si>
    <t>(단위 : 천원)</t>
    <phoneticPr fontId="6" type="noConversion"/>
  </si>
  <si>
    <t>세목</t>
    <phoneticPr fontId="6" type="noConversion"/>
  </si>
  <si>
    <t>금액</t>
    <phoneticPr fontId="6" type="noConversion"/>
  </si>
  <si>
    <t>=</t>
    <phoneticPr fontId="6" type="noConversion"/>
  </si>
  <si>
    <t>=</t>
    <phoneticPr fontId="3" type="noConversion"/>
  </si>
  <si>
    <t xml:space="preserve"> 0 건강보험료</t>
  </si>
  <si>
    <t xml:space="preserve"> 0 국민연금부담금</t>
  </si>
  <si>
    <t xml:space="preserve"> 0 고용보험부담금</t>
  </si>
  <si>
    <t xml:space="preserve"> 0 산재보험부담금</t>
  </si>
  <si>
    <t>계</t>
    <phoneticPr fontId="3" type="noConversion"/>
  </si>
  <si>
    <t>차량운영비</t>
    <phoneticPr fontId="6" type="noConversion"/>
  </si>
  <si>
    <t xml:space="preserve"> 0 프로그램유지보수비</t>
  </si>
  <si>
    <t>*</t>
  </si>
  <si>
    <t>=</t>
  </si>
  <si>
    <t>학습지원대체자료서비스</t>
    <phoneticPr fontId="3" type="noConversion"/>
  </si>
  <si>
    <t>점</t>
    <phoneticPr fontId="3" type="noConversion"/>
  </si>
  <si>
    <t>1.3%</t>
    <phoneticPr fontId="3" type="noConversion"/>
  </si>
  <si>
    <t xml:space="preserve"> 0 봉사단간담회비- 식대</t>
    <phoneticPr fontId="3" type="noConversion"/>
  </si>
  <si>
    <t xml:space="preserve"> 0 모의고사운영비</t>
    <phoneticPr fontId="3" type="noConversion"/>
  </si>
  <si>
    <t>공공요금</t>
    <phoneticPr fontId="3" type="noConversion"/>
  </si>
  <si>
    <t>*</t>
    <phoneticPr fontId="3" type="noConversion"/>
  </si>
  <si>
    <t>회</t>
    <phoneticPr fontId="3" type="noConversion"/>
  </si>
  <si>
    <t>예비비및기타</t>
    <phoneticPr fontId="3" type="noConversion"/>
  </si>
  <si>
    <t>반환금</t>
    <phoneticPr fontId="3" type="noConversion"/>
  </si>
  <si>
    <t>예비비</t>
    <phoneticPr fontId="3" type="noConversion"/>
  </si>
  <si>
    <t xml:space="preserve"> 0 봉사단간담회비-현수막제작비</t>
    <phoneticPr fontId="3" type="noConversion"/>
  </si>
  <si>
    <t>&lt;세입. 세출 총괄&gt;</t>
    <phoneticPr fontId="6" type="noConversion"/>
  </si>
  <si>
    <t>(단위 : 천원)</t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</si>
  <si>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입</t>
    </r>
    <phoneticPr fontId="6" type="noConversion"/>
  </si>
  <si>
    <r>
      <rPr>
        <b/>
        <sz val="9"/>
        <rFont val="돋움체"/>
        <family val="3"/>
        <charset val="129"/>
      </rPr>
      <t>세</t>
    </r>
    <r>
      <rPr>
        <b/>
        <sz val="9"/>
        <rFont val="+"/>
        <family val="2"/>
      </rPr>
      <t xml:space="preserve">   </t>
    </r>
    <r>
      <rPr>
        <b/>
        <sz val="9"/>
        <rFont val="돋움체"/>
        <family val="3"/>
        <charset val="129"/>
      </rPr>
      <t>출</t>
    </r>
    <phoneticPr fontId="6" type="noConversion"/>
  </si>
  <si>
    <r>
      <rPr>
        <b/>
        <sz val="9"/>
        <rFont val="돋움체"/>
        <family val="3"/>
        <charset val="129"/>
      </rPr>
      <t>관</t>
    </r>
    <phoneticPr fontId="6" type="noConversion"/>
  </si>
  <si>
    <r>
      <rPr>
        <b/>
        <sz val="9"/>
        <rFont val="돋움체"/>
        <family val="3"/>
        <charset val="129"/>
      </rPr>
      <t>항</t>
    </r>
    <phoneticPr fontId="6" type="noConversion"/>
  </si>
  <si>
    <r>
      <rPr>
        <b/>
        <sz val="9"/>
        <rFont val="돋움체"/>
        <family val="3"/>
        <charset val="129"/>
      </rPr>
      <t>목</t>
    </r>
    <phoneticPr fontId="6" type="noConversion"/>
  </si>
  <si>
    <r>
      <rPr>
        <b/>
        <sz val="9"/>
        <rFont val="돋움체"/>
        <family val="3"/>
        <charset val="129"/>
      </rPr>
      <t>증감</t>
    </r>
    <r>
      <rPr>
        <b/>
        <sz val="9"/>
        <rFont val="+"/>
        <family val="2"/>
      </rPr>
      <t>(B-A)</t>
    </r>
    <phoneticPr fontId="6" type="noConversion"/>
  </si>
  <si>
    <r>
      <rPr>
        <b/>
        <sz val="9"/>
        <rFont val="돋움체"/>
        <family val="3"/>
        <charset val="129"/>
      </rPr>
      <t>금액</t>
    </r>
    <phoneticPr fontId="6" type="noConversion"/>
  </si>
  <si>
    <r>
      <rPr>
        <b/>
        <sz val="9"/>
        <rFont val="돋움체"/>
        <family val="3"/>
        <charset val="129"/>
      </rPr>
      <t>비율</t>
    </r>
    <r>
      <rPr>
        <b/>
        <sz val="9"/>
        <rFont val="+"/>
        <family val="2"/>
      </rPr>
      <t>(%)</t>
    </r>
    <phoneticPr fontId="6" type="noConversion"/>
  </si>
  <si>
    <r>
      <rPr>
        <sz val="9"/>
        <rFont val="돋움체"/>
        <family val="3"/>
        <charset val="129"/>
      </rPr>
      <t>계</t>
    </r>
    <phoneticPr fontId="6" type="noConversion"/>
  </si>
  <si>
    <t xml:space="preserve"> </t>
    <phoneticPr fontId="6" type="noConversion"/>
  </si>
  <si>
    <r>
      <rPr>
        <sz val="9"/>
        <rFont val="돋움체"/>
        <family val="3"/>
        <charset val="129"/>
      </rPr>
      <t>보조금
수입</t>
    </r>
    <phoneticPr fontId="6" type="noConversion"/>
  </si>
  <si>
    <r>
      <rPr>
        <sz val="9"/>
        <rFont val="돋움체"/>
        <family val="3"/>
        <charset val="129"/>
      </rPr>
      <t>사무비</t>
    </r>
    <phoneticPr fontId="6" type="noConversion"/>
  </si>
  <si>
    <r>
      <rPr>
        <sz val="9"/>
        <rFont val="돋움체"/>
        <family val="3"/>
        <charset val="129"/>
      </rPr>
      <t>인건비</t>
    </r>
    <phoneticPr fontId="6" type="noConversion"/>
  </si>
  <si>
    <r>
      <rPr>
        <sz val="9"/>
        <rFont val="돋움체"/>
        <family val="3"/>
        <charset val="129"/>
      </rPr>
      <t>전입금</t>
    </r>
    <phoneticPr fontId="6" type="noConversion"/>
  </si>
  <si>
    <r>
      <rPr>
        <sz val="9"/>
        <rFont val="돋움체"/>
        <family val="3"/>
        <charset val="129"/>
      </rPr>
      <t>급여</t>
    </r>
    <phoneticPr fontId="6" type="noConversion"/>
  </si>
  <si>
    <r>
      <rPr>
        <sz val="9"/>
        <rFont val="돋움체"/>
        <family val="3"/>
        <charset val="129"/>
      </rPr>
      <t>잡수입</t>
    </r>
    <phoneticPr fontId="6" type="noConversion"/>
  </si>
  <si>
    <r>
      <rPr>
        <sz val="9"/>
        <rFont val="돋움체"/>
        <family val="3"/>
        <charset val="129"/>
      </rPr>
      <t>제수당</t>
    </r>
    <phoneticPr fontId="6" type="noConversion"/>
  </si>
  <si>
    <r>
      <rPr>
        <sz val="9"/>
        <rFont val="돋움체"/>
        <family val="3"/>
        <charset val="129"/>
      </rPr>
      <t>퇴직
적립금</t>
    </r>
    <phoneticPr fontId="6" type="noConversion"/>
  </si>
  <si>
    <r>
      <rPr>
        <sz val="9"/>
        <rFont val="돋움체"/>
        <family val="3"/>
        <charset val="129"/>
      </rPr>
      <t>사회보험
부담비용</t>
    </r>
    <phoneticPr fontId="6" type="noConversion"/>
  </si>
  <si>
    <r>
      <rPr>
        <sz val="9"/>
        <rFont val="돋움체"/>
        <family val="3"/>
        <charset val="129"/>
      </rPr>
      <t>기타
후생경비</t>
    </r>
    <phoneticPr fontId="6" type="noConversion"/>
  </si>
  <si>
    <r>
      <rPr>
        <sz val="9"/>
        <rFont val="돋움체"/>
        <family val="3"/>
        <charset val="129"/>
      </rPr>
      <t>운영비</t>
    </r>
    <phoneticPr fontId="6" type="noConversion"/>
  </si>
  <si>
    <r>
      <rPr>
        <sz val="9"/>
        <rFont val="돋움체"/>
        <family val="3"/>
        <charset val="129"/>
      </rPr>
      <t>여비</t>
    </r>
    <phoneticPr fontId="6" type="noConversion"/>
  </si>
  <si>
    <r>
      <rPr>
        <sz val="9"/>
        <rFont val="돋움체"/>
        <family val="3"/>
        <charset val="129"/>
      </rPr>
      <t>수용비</t>
    </r>
    <r>
      <rPr>
        <sz val="9"/>
        <rFont val="+"/>
        <family val="2"/>
      </rPr>
      <t xml:space="preserve"> </t>
    </r>
    <r>
      <rPr>
        <sz val="9"/>
        <rFont val="돋움체"/>
        <family val="3"/>
        <charset val="129"/>
      </rPr>
      <t>및</t>
    </r>
    <r>
      <rPr>
        <sz val="9"/>
        <rFont val="+"/>
        <family val="2"/>
      </rPr>
      <t xml:space="preserve"> 
</t>
    </r>
    <r>
      <rPr>
        <sz val="9"/>
        <rFont val="돋움체"/>
        <family val="3"/>
        <charset val="129"/>
      </rPr>
      <t>수수료</t>
    </r>
    <phoneticPr fontId="6" type="noConversion"/>
  </si>
  <si>
    <r>
      <rPr>
        <sz val="9"/>
        <rFont val="돋움체"/>
        <family val="3"/>
        <charset val="129"/>
      </rPr>
      <t>제세공과금</t>
    </r>
    <phoneticPr fontId="6" type="noConversion"/>
  </si>
  <si>
    <r>
      <t>&lt;</t>
    </r>
    <r>
      <rPr>
        <b/>
        <sz val="9"/>
        <rFont val="돋움체"/>
        <family val="3"/>
        <charset val="129"/>
      </rPr>
      <t>세입</t>
    </r>
    <r>
      <rPr>
        <b/>
        <sz val="9"/>
        <rFont val="+"/>
        <family val="2"/>
      </rPr>
      <t xml:space="preserve">. </t>
    </r>
    <r>
      <rPr>
        <b/>
        <sz val="9"/>
        <rFont val="돋움체"/>
        <family val="3"/>
        <charset val="129"/>
      </rPr>
      <t>세출</t>
    </r>
    <r>
      <rPr>
        <b/>
        <sz val="9"/>
        <rFont val="+"/>
        <family val="2"/>
      </rPr>
      <t xml:space="preserve"> </t>
    </r>
    <r>
      <rPr>
        <b/>
        <sz val="9"/>
        <rFont val="돋움체"/>
        <family val="3"/>
        <charset val="129"/>
      </rPr>
      <t>총괄</t>
    </r>
    <r>
      <rPr>
        <b/>
        <sz val="9"/>
        <rFont val="+"/>
        <family val="2"/>
      </rPr>
      <t>&gt;</t>
    </r>
    <phoneticPr fontId="6" type="noConversion"/>
  </si>
  <si>
    <r>
      <t>(</t>
    </r>
    <r>
      <rPr>
        <sz val="9"/>
        <rFont val="돋움체"/>
        <family val="3"/>
        <charset val="129"/>
      </rPr>
      <t>단위</t>
    </r>
    <r>
      <rPr>
        <sz val="9"/>
        <rFont val="+"/>
        <family val="2"/>
      </rPr>
      <t xml:space="preserve"> : </t>
    </r>
    <r>
      <rPr>
        <sz val="9"/>
        <rFont val="돋움체"/>
        <family val="3"/>
        <charset val="129"/>
      </rPr>
      <t>천원</t>
    </r>
    <r>
      <rPr>
        <sz val="9"/>
        <rFont val="+"/>
        <family val="2"/>
      </rPr>
      <t>)</t>
    </r>
    <phoneticPr fontId="6" type="noConversion"/>
  </si>
  <si>
    <r>
      <rPr>
        <sz val="9"/>
        <rFont val="돋움체"/>
        <family val="3"/>
        <charset val="129"/>
      </rPr>
      <t>재산조성비</t>
    </r>
    <phoneticPr fontId="6" type="noConversion"/>
  </si>
  <si>
    <r>
      <rPr>
        <sz val="9"/>
        <rFont val="돋움체"/>
        <family val="3"/>
        <charset val="129"/>
      </rPr>
      <t>시설비</t>
    </r>
    <phoneticPr fontId="6" type="noConversion"/>
  </si>
  <si>
    <r>
      <rPr>
        <sz val="9"/>
        <rFont val="돋움체"/>
        <family val="3"/>
        <charset val="129"/>
      </rPr>
      <t>자산취득비</t>
    </r>
    <phoneticPr fontId="6" type="noConversion"/>
  </si>
  <si>
    <r>
      <rPr>
        <sz val="9"/>
        <rFont val="돋움체"/>
        <family val="3"/>
        <charset val="129"/>
      </rPr>
      <t>시설장비
유지보수비</t>
    </r>
    <phoneticPr fontId="6" type="noConversion"/>
  </si>
  <si>
    <r>
      <rPr>
        <sz val="9"/>
        <rFont val="돋움체"/>
        <family val="3"/>
        <charset val="129"/>
      </rPr>
      <t>사업비</t>
    </r>
    <phoneticPr fontId="6" type="noConversion"/>
  </si>
  <si>
    <r>
      <rPr>
        <sz val="9"/>
        <rFont val="돋움체"/>
        <family val="3"/>
        <charset val="129"/>
      </rPr>
      <t>화면해설서비스사업</t>
    </r>
    <phoneticPr fontId="3" type="noConversion"/>
  </si>
  <si>
    <r>
      <rPr>
        <sz val="9"/>
        <rFont val="돋움체"/>
        <family val="3"/>
        <charset val="129"/>
      </rPr>
      <t>학습지원대체자료지원</t>
    </r>
    <r>
      <rPr>
        <sz val="9"/>
        <rFont val="+"/>
        <family val="2"/>
      </rPr>
      <t xml:space="preserve">     </t>
    </r>
    <r>
      <rPr>
        <sz val="9"/>
        <rFont val="돋움체"/>
        <family val="3"/>
        <charset val="129"/>
      </rPr>
      <t>서비스</t>
    </r>
    <phoneticPr fontId="3" type="noConversion"/>
  </si>
  <si>
    <r>
      <rPr>
        <sz val="9"/>
        <rFont val="돋움체"/>
        <family val="3"/>
        <charset val="129"/>
      </rPr>
      <t>정보제공사업</t>
    </r>
    <phoneticPr fontId="3" type="noConversion"/>
  </si>
  <si>
    <t>전년도       이월금</t>
    <phoneticPr fontId="6" type="noConversion"/>
  </si>
  <si>
    <t>예비비 및   기타</t>
    <phoneticPr fontId="3" type="noConversion"/>
  </si>
  <si>
    <t>월</t>
    <phoneticPr fontId="3" type="noConversion"/>
  </si>
  <si>
    <t>15자부담(D)</t>
    <phoneticPr fontId="6" type="noConversion"/>
  </si>
  <si>
    <t xml:space="preserve"> 0 평가회의비</t>
    <phoneticPr fontId="3" type="noConversion"/>
  </si>
  <si>
    <t>명</t>
    <phoneticPr fontId="3" type="noConversion"/>
  </si>
  <si>
    <t xml:space="preserve"> 0 낭독아르바이트비(90분)</t>
    <phoneticPr fontId="3" type="noConversion"/>
  </si>
  <si>
    <t xml:space="preserve"> 0 낭독아르바이트비(60분)</t>
    <phoneticPr fontId="3" type="noConversion"/>
  </si>
  <si>
    <t>&lt;세입&gt;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</si>
  <si>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</si>
  <si>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</si>
  <si>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</si>
  <si>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</si>
  <si>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</si>
  <si>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14보조금(C)</t>
    <phoneticPr fontId="6" type="noConversion"/>
  </si>
  <si>
    <t>15보조금(C)</t>
    <phoneticPr fontId="6" type="noConversion"/>
  </si>
  <si>
    <t>증감</t>
    <phoneticPr fontId="6" type="noConversion"/>
  </si>
  <si>
    <t>산출내역</t>
    <phoneticPr fontId="6" type="noConversion"/>
  </si>
  <si>
    <t>14자부담(D)</t>
    <phoneticPr fontId="6" type="noConversion"/>
  </si>
  <si>
    <t>15자부담(D)</t>
    <phoneticPr fontId="6" type="noConversion"/>
  </si>
  <si>
    <t>금액</t>
    <phoneticPr fontId="6" type="noConversion"/>
  </si>
  <si>
    <t>비율(%)</t>
    <phoneticPr fontId="6" type="noConversion"/>
  </si>
  <si>
    <t>계</t>
    <phoneticPr fontId="6" type="noConversion"/>
  </si>
  <si>
    <t xml:space="preserve"> </t>
    <phoneticPr fontId="6" type="noConversion"/>
  </si>
  <si>
    <t>보조금
수입</t>
    <phoneticPr fontId="6" type="noConversion"/>
  </si>
  <si>
    <t>보조금   수입</t>
    <phoneticPr fontId="6" type="noConversion"/>
  </si>
  <si>
    <t xml:space="preserve"> 0 보조금수입</t>
    <phoneticPr fontId="3" type="noConversion"/>
  </si>
  <si>
    <t>전입금</t>
    <phoneticPr fontId="6" type="noConversion"/>
  </si>
  <si>
    <t xml:space="preserve"> 0 법인전입금</t>
    <phoneticPr fontId="3" type="noConversion"/>
  </si>
  <si>
    <t>이월금</t>
    <phoneticPr fontId="3" type="noConversion"/>
  </si>
  <si>
    <t xml:space="preserve"> 0 전년도 이월금</t>
    <phoneticPr fontId="3" type="noConversion"/>
  </si>
  <si>
    <t>잡수입</t>
    <phoneticPr fontId="6" type="noConversion"/>
  </si>
  <si>
    <t xml:space="preserve"> 0 잡수입</t>
    <phoneticPr fontId="3" type="noConversion"/>
  </si>
  <si>
    <t>&lt;세출&gt;</t>
    <phoneticPr fontId="6" type="noConversion"/>
  </si>
  <si>
    <t xml:space="preserve"> 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</si>
  <si>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</si>
  <si>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</si>
  <si>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</si>
  <si>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증감</t>
    <phoneticPr fontId="6" type="noConversion"/>
  </si>
  <si>
    <t>산출내역</t>
    <phoneticPr fontId="6" type="noConversion"/>
  </si>
  <si>
    <t>비율(%)</t>
    <phoneticPr fontId="6" type="noConversion"/>
  </si>
  <si>
    <t>계</t>
    <phoneticPr fontId="6" type="noConversion"/>
  </si>
  <si>
    <t>사무비</t>
    <phoneticPr fontId="6" type="noConversion"/>
  </si>
  <si>
    <t>인건비</t>
    <phoneticPr fontId="6" type="noConversion"/>
  </si>
  <si>
    <t>급여</t>
    <phoneticPr fontId="6" type="noConversion"/>
  </si>
  <si>
    <t>*</t>
    <phoneticPr fontId="6" type="noConversion"/>
  </si>
  <si>
    <t>명</t>
    <phoneticPr fontId="6" type="noConversion"/>
  </si>
  <si>
    <t>*</t>
    <phoneticPr fontId="6" type="noConversion"/>
  </si>
  <si>
    <t>월</t>
    <phoneticPr fontId="6" type="noConversion"/>
  </si>
  <si>
    <t>=</t>
    <phoneticPr fontId="6" type="noConversion"/>
  </si>
  <si>
    <t>명</t>
    <phoneticPr fontId="6" type="noConversion"/>
  </si>
  <si>
    <t>월</t>
    <phoneticPr fontId="6" type="noConversion"/>
  </si>
  <si>
    <t>*</t>
    <phoneticPr fontId="3" type="noConversion"/>
  </si>
  <si>
    <t>월</t>
    <phoneticPr fontId="3" type="noConversion"/>
  </si>
  <si>
    <t>=</t>
    <phoneticPr fontId="3" type="noConversion"/>
  </si>
  <si>
    <t xml:space="preserve"> </t>
    <phoneticPr fontId="3" type="noConversion"/>
  </si>
  <si>
    <t>명</t>
    <phoneticPr fontId="3" type="noConversion"/>
  </si>
  <si>
    <t xml:space="preserve"> 0 기말수당</t>
    <phoneticPr fontId="3" type="noConversion"/>
  </si>
  <si>
    <t>%</t>
    <phoneticPr fontId="3" type="noConversion"/>
  </si>
  <si>
    <t>회</t>
    <phoneticPr fontId="3" type="noConversion"/>
  </si>
  <si>
    <t>소계</t>
    <phoneticPr fontId="6" type="noConversion"/>
  </si>
  <si>
    <t>&lt;세출&gt;</t>
    <phoneticPr fontId="6" type="noConversion"/>
  </si>
  <si>
    <t>(단위 : 천원)</t>
    <phoneticPr fontId="6" type="noConversion"/>
  </si>
  <si>
    <t>관</t>
    <phoneticPr fontId="6" type="noConversion"/>
  </si>
  <si>
    <t>항</t>
    <phoneticPr fontId="6" type="noConversion"/>
  </si>
  <si>
    <t>목</t>
    <phoneticPr fontId="6" type="noConversion"/>
  </si>
  <si>
    <t>세목</t>
    <phoneticPr fontId="6" type="noConversion"/>
  </si>
  <si>
    <t>증감</t>
    <phoneticPr fontId="6" type="noConversion"/>
  </si>
  <si>
    <t>산출내역</t>
    <phoneticPr fontId="6" type="noConversion"/>
  </si>
  <si>
    <t>금액</t>
    <phoneticPr fontId="6" type="noConversion"/>
  </si>
  <si>
    <t>비율(%)</t>
    <phoneticPr fontId="6" type="noConversion"/>
  </si>
  <si>
    <t>제수당</t>
    <phoneticPr fontId="6" type="noConversion"/>
  </si>
  <si>
    <t xml:space="preserve"> 0 가족수당</t>
    <phoneticPr fontId="6" type="noConversion"/>
  </si>
  <si>
    <t>=</t>
    <phoneticPr fontId="6" type="noConversion"/>
  </si>
  <si>
    <t xml:space="preserve"> 0 명절휴가비</t>
    <phoneticPr fontId="3" type="noConversion"/>
  </si>
  <si>
    <t xml:space="preserve"> 0 정액급식비</t>
    <phoneticPr fontId="6" type="noConversion"/>
  </si>
  <si>
    <t xml:space="preserve"> 0 직책수당</t>
    <phoneticPr fontId="6" type="noConversion"/>
  </si>
  <si>
    <t xml:space="preserve"> 0 조정수당</t>
    <phoneticPr fontId="3" type="noConversion"/>
  </si>
  <si>
    <t>50%/12</t>
    <phoneticPr fontId="6" type="noConversion"/>
  </si>
  <si>
    <t xml:space="preserve"> 0 여름휴가비</t>
    <phoneticPr fontId="3" type="noConversion"/>
  </si>
  <si>
    <t xml:space="preserve"> 0 체력단련비</t>
    <phoneticPr fontId="3" type="noConversion"/>
  </si>
  <si>
    <t xml:space="preserve"> 0 특수업무수당</t>
    <phoneticPr fontId="3" type="noConversion"/>
  </si>
  <si>
    <t xml:space="preserve"> 0 시간외수당</t>
    <phoneticPr fontId="3" type="noConversion"/>
  </si>
  <si>
    <t>기타후생
경비</t>
    <phoneticPr fontId="6" type="noConversion"/>
  </si>
  <si>
    <t xml:space="preserve"> 0 팀운영비</t>
    <phoneticPr fontId="3" type="noConversion"/>
  </si>
  <si>
    <t xml:space="preserve"> 0 직원선물비</t>
    <phoneticPr fontId="3" type="noConversion"/>
  </si>
  <si>
    <t>소계</t>
    <phoneticPr fontId="6" type="noConversion"/>
  </si>
  <si>
    <t>퇴직     적립금</t>
    <phoneticPr fontId="6" type="noConversion"/>
  </si>
  <si>
    <t xml:space="preserve"> 0 퇴직적립금</t>
    <phoneticPr fontId="6" type="noConversion"/>
  </si>
  <si>
    <t>*</t>
    <phoneticPr fontId="6" type="noConversion"/>
  </si>
  <si>
    <t>1/12</t>
    <phoneticPr fontId="6" type="noConversion"/>
  </si>
  <si>
    <t>=</t>
    <phoneticPr fontId="6" type="noConversion"/>
  </si>
  <si>
    <t>소계</t>
    <phoneticPr fontId="6" type="noConversion"/>
  </si>
  <si>
    <t>&lt;세출&gt;</t>
    <phoneticPr fontId="6" type="noConversion"/>
  </si>
  <si>
    <t xml:space="preserve"> </t>
    <phoneticPr fontId="6" type="noConversion"/>
  </si>
  <si>
    <t>사회보험
부담비용</t>
    <phoneticPr fontId="6" type="noConversion"/>
  </si>
  <si>
    <t xml:space="preserve"> 0 건강보험료</t>
    <phoneticPr fontId="6" type="noConversion"/>
  </si>
  <si>
    <t>*</t>
    <phoneticPr fontId="3" type="noConversion"/>
  </si>
  <si>
    <t>3.125%</t>
    <phoneticPr fontId="3" type="noConversion"/>
  </si>
  <si>
    <t>=</t>
    <phoneticPr fontId="3" type="noConversion"/>
  </si>
  <si>
    <t xml:space="preserve"> 0 국민연금부담금</t>
    <phoneticPr fontId="6" type="noConversion"/>
  </si>
  <si>
    <t>4.5%</t>
    <phoneticPr fontId="3" type="noConversion"/>
  </si>
  <si>
    <t xml:space="preserve"> 0 고용보험부담금</t>
    <phoneticPr fontId="6" type="noConversion"/>
  </si>
  <si>
    <t xml:space="preserve"> 0 산재보험부담금</t>
    <phoneticPr fontId="6" type="noConversion"/>
  </si>
  <si>
    <t>1.063%</t>
    <phoneticPr fontId="3" type="noConversion"/>
  </si>
  <si>
    <t>1.3%</t>
    <phoneticPr fontId="3" type="noConversion"/>
  </si>
  <si>
    <t>1.063%</t>
    <phoneticPr fontId="3" type="noConversion"/>
  </si>
  <si>
    <t>운영비</t>
    <phoneticPr fontId="6" type="noConversion"/>
  </si>
  <si>
    <t>여비</t>
    <phoneticPr fontId="6" type="noConversion"/>
  </si>
  <si>
    <t xml:space="preserve"> 0 국내여비</t>
    <phoneticPr fontId="6" type="noConversion"/>
  </si>
  <si>
    <t>회</t>
    <phoneticPr fontId="6" type="noConversion"/>
  </si>
  <si>
    <t>계</t>
    <phoneticPr fontId="6" type="noConversion"/>
  </si>
  <si>
    <t>수용비및       수수료</t>
    <phoneticPr fontId="3" type="noConversion"/>
  </si>
  <si>
    <t xml:space="preserve"> 0 사무용품구입비</t>
    <phoneticPr fontId="6" type="noConversion"/>
  </si>
  <si>
    <t xml:space="preserve"> 0 인쇄비 </t>
    <phoneticPr fontId="3" type="noConversion"/>
  </si>
  <si>
    <t>회</t>
    <phoneticPr fontId="3" type="noConversion"/>
  </si>
  <si>
    <t xml:space="preserve"> 0 집기 및 소모품구입비</t>
    <phoneticPr fontId="3" type="noConversion"/>
  </si>
  <si>
    <t>월</t>
    <phoneticPr fontId="3" type="noConversion"/>
  </si>
  <si>
    <t xml:space="preserve"> 0 수수료</t>
    <phoneticPr fontId="6" type="noConversion"/>
  </si>
  <si>
    <t>월</t>
    <phoneticPr fontId="6" type="noConversion"/>
  </si>
  <si>
    <t xml:space="preserve"> 0 기타잡비</t>
    <phoneticPr fontId="3" type="noConversion"/>
  </si>
  <si>
    <t>공공요금</t>
    <phoneticPr fontId="3" type="noConversion"/>
  </si>
  <si>
    <t xml:space="preserve"> 0 전화요금</t>
    <phoneticPr fontId="3" type="noConversion"/>
  </si>
  <si>
    <t>계</t>
    <phoneticPr fontId="3" type="noConversion"/>
  </si>
  <si>
    <t>재산
조성비</t>
    <phoneticPr fontId="6" type="noConversion"/>
  </si>
  <si>
    <t>시설비</t>
    <phoneticPr fontId="6" type="noConversion"/>
  </si>
  <si>
    <t>자산     취득비</t>
    <phoneticPr fontId="6" type="noConversion"/>
  </si>
  <si>
    <t xml:space="preserve"> 0 비품구입비</t>
    <phoneticPr fontId="3" type="noConversion"/>
  </si>
  <si>
    <t>시설장비
유지     보수비</t>
    <phoneticPr fontId="6" type="noConversion"/>
  </si>
  <si>
    <t>사업비</t>
    <phoneticPr fontId="6" type="noConversion"/>
  </si>
  <si>
    <t>화면해설서비스     사업</t>
    <phoneticPr fontId="6" type="noConversion"/>
  </si>
  <si>
    <t>수능화면해설방송물제작 및 보급사업</t>
    <phoneticPr fontId="6" type="noConversion"/>
  </si>
  <si>
    <t xml:space="preserve"> 0 대본비 </t>
    <phoneticPr fontId="6" type="noConversion"/>
  </si>
  <si>
    <t>편</t>
    <phoneticPr fontId="3" type="noConversion"/>
  </si>
  <si>
    <t xml:space="preserve"> 0 감수비</t>
    <phoneticPr fontId="6" type="noConversion"/>
  </si>
  <si>
    <t xml:space="preserve"> 0 더빙비</t>
    <phoneticPr fontId="6" type="noConversion"/>
  </si>
  <si>
    <t xml:space="preserve"> 0 사전제작회의비 - 강의실사용료</t>
    <phoneticPr fontId="3" type="noConversion"/>
  </si>
  <si>
    <t xml:space="preserve"> 0 사전제작회의비 - 간식비</t>
    <phoneticPr fontId="3" type="noConversion"/>
  </si>
  <si>
    <t>명</t>
    <phoneticPr fontId="3" type="noConversion"/>
  </si>
  <si>
    <t>화면해설 그림동화 오디오북 제작 및  보급사업</t>
    <phoneticPr fontId="3" type="noConversion"/>
  </si>
  <si>
    <t xml:space="preserve"> 0 도서구입비</t>
    <phoneticPr fontId="6" type="noConversion"/>
  </si>
  <si>
    <t>권</t>
    <phoneticPr fontId="3" type="noConversion"/>
  </si>
  <si>
    <t xml:space="preserve"> 0 해설대본작성비</t>
    <phoneticPr fontId="6" type="noConversion"/>
  </si>
  <si>
    <t xml:space="preserve"> 0 더빙비</t>
    <phoneticPr fontId="6" type="noConversion"/>
  </si>
  <si>
    <t>*</t>
    <phoneticPr fontId="3" type="noConversion"/>
  </si>
  <si>
    <t>권</t>
    <phoneticPr fontId="3" type="noConversion"/>
  </si>
  <si>
    <t>=</t>
    <phoneticPr fontId="6" type="noConversion"/>
  </si>
  <si>
    <t>계</t>
    <phoneticPr fontId="6" type="noConversion"/>
  </si>
  <si>
    <t>점자자료 제작 및 보급 사업</t>
    <phoneticPr fontId="6" type="noConversion"/>
  </si>
  <si>
    <t xml:space="preserve"> 0 표지제작비</t>
    <phoneticPr fontId="3" type="noConversion"/>
  </si>
  <si>
    <t>*</t>
    <phoneticPr fontId="3" type="noConversion"/>
  </si>
  <si>
    <t>부</t>
    <phoneticPr fontId="3" type="noConversion"/>
  </si>
  <si>
    <t>월</t>
    <phoneticPr fontId="3" type="noConversion"/>
  </si>
  <si>
    <t>=</t>
    <phoneticPr fontId="3" type="noConversion"/>
  </si>
  <si>
    <t xml:space="preserve"> 0 점자프린터기유지보수비</t>
    <phoneticPr fontId="3" type="noConversion"/>
  </si>
  <si>
    <t>회</t>
    <phoneticPr fontId="3" type="noConversion"/>
  </si>
  <si>
    <t xml:space="preserve"> 0 바인더링구입비</t>
    <phoneticPr fontId="3" type="noConversion"/>
  </si>
  <si>
    <t>박스</t>
    <phoneticPr fontId="3" type="noConversion"/>
  </si>
  <si>
    <t xml:space="preserve"> 0 묵자도서구입비</t>
    <phoneticPr fontId="3" type="noConversion"/>
  </si>
  <si>
    <t>*</t>
    <phoneticPr fontId="3" type="noConversion"/>
  </si>
  <si>
    <t>권</t>
    <phoneticPr fontId="3" type="noConversion"/>
  </si>
  <si>
    <t>월</t>
    <phoneticPr fontId="3" type="noConversion"/>
  </si>
  <si>
    <t>=</t>
    <phoneticPr fontId="3" type="noConversion"/>
  </si>
  <si>
    <t xml:space="preserve"> 0 점자프린터용용지구입비</t>
    <phoneticPr fontId="3" type="noConversion"/>
  </si>
  <si>
    <t>톤</t>
    <phoneticPr fontId="3" type="noConversion"/>
  </si>
  <si>
    <t>계</t>
    <phoneticPr fontId="3" type="noConversion"/>
  </si>
  <si>
    <t>전자자료 제작 및 보급사업</t>
    <phoneticPr fontId="6" type="noConversion"/>
  </si>
  <si>
    <t xml:space="preserve"> 0 도서구입비</t>
    <phoneticPr fontId="3" type="noConversion"/>
  </si>
  <si>
    <t>*</t>
    <phoneticPr fontId="3" type="noConversion"/>
  </si>
  <si>
    <t>권</t>
    <phoneticPr fontId="3" type="noConversion"/>
  </si>
  <si>
    <t>월</t>
    <phoneticPr fontId="3" type="noConversion"/>
  </si>
  <si>
    <t>=</t>
    <phoneticPr fontId="3" type="noConversion"/>
  </si>
  <si>
    <t>계</t>
    <phoneticPr fontId="6" type="noConversion"/>
  </si>
  <si>
    <t>녹음자료 제작 및 보급사업</t>
    <phoneticPr fontId="3" type="noConversion"/>
  </si>
  <si>
    <t xml:space="preserve"> 0 도서구입비</t>
    <phoneticPr fontId="3" type="noConversion"/>
  </si>
  <si>
    <t>월</t>
    <phoneticPr fontId="3" type="noConversion"/>
  </si>
  <si>
    <t>=</t>
    <phoneticPr fontId="3" type="noConversion"/>
  </si>
  <si>
    <t>공직진출대비반          사업</t>
    <phoneticPr fontId="3" type="noConversion"/>
  </si>
  <si>
    <t xml:space="preserve"> 0 오리엔테이션비</t>
    <phoneticPr fontId="3" type="noConversion"/>
  </si>
  <si>
    <t>권</t>
    <phoneticPr fontId="3" type="noConversion"/>
  </si>
  <si>
    <t xml:space="preserve"> 0 후원기관방문비</t>
    <phoneticPr fontId="3" type="noConversion"/>
  </si>
  <si>
    <t>정보제공사업</t>
    <phoneticPr fontId="3" type="noConversion"/>
  </si>
  <si>
    <t>20file*3권</t>
    <phoneticPr fontId="3" type="noConversion"/>
  </si>
  <si>
    <t>예비비및기타</t>
    <phoneticPr fontId="3" type="noConversion"/>
  </si>
  <si>
    <t>예비비</t>
    <phoneticPr fontId="3" type="noConversion"/>
  </si>
  <si>
    <t>0 예비비</t>
    <phoneticPr fontId="3" type="noConversion"/>
  </si>
  <si>
    <t>반환금</t>
    <phoneticPr fontId="3" type="noConversion"/>
  </si>
  <si>
    <t>정부보조반환금</t>
    <phoneticPr fontId="3" type="noConversion"/>
  </si>
  <si>
    <t>2016 학습지원센터 예산서</t>
    <phoneticPr fontId="3" type="noConversion"/>
  </si>
  <si>
    <t>10file*2권</t>
    <phoneticPr fontId="3" type="noConversion"/>
  </si>
  <si>
    <t xml:space="preserve"> 0 학습도서구입비</t>
    <phoneticPr fontId="3" type="noConversion"/>
  </si>
  <si>
    <t xml:space="preserve"> 0 공무원 네트워킹 - 식비</t>
    <phoneticPr fontId="3" type="noConversion"/>
  </si>
  <si>
    <t>실</t>
    <phoneticPr fontId="3" type="noConversion"/>
  </si>
  <si>
    <t xml:space="preserve"> 0 공무원 네트워킹 - 숙박비</t>
    <phoneticPr fontId="3" type="noConversion"/>
  </si>
  <si>
    <t xml:space="preserve"> 0 공무원 네트워킹 - 교육실대관료</t>
    <phoneticPr fontId="3" type="noConversion"/>
  </si>
  <si>
    <t>실</t>
    <phoneticPr fontId="3" type="noConversion"/>
  </si>
  <si>
    <t xml:space="preserve"> 0 공무원 네트워킹 - 강사료</t>
    <phoneticPr fontId="3" type="noConversion"/>
  </si>
  <si>
    <t xml:space="preserve"> 0 공무원 네트워킹 - 다과비</t>
    <phoneticPr fontId="3" type="noConversion"/>
  </si>
  <si>
    <t xml:space="preserve"> 0 공무원 네트워킹 - 문화체험비</t>
    <phoneticPr fontId="3" type="noConversion"/>
  </si>
  <si>
    <t xml:space="preserve"> 0 공무원 네트워킹 - 유류비</t>
    <phoneticPr fontId="3" type="noConversion"/>
  </si>
  <si>
    <t xml:space="preserve"> 0 공무원 네트워킹 - 간식비</t>
    <phoneticPr fontId="3" type="noConversion"/>
  </si>
  <si>
    <t xml:space="preserve"> 0 공무원 네트워킹 - 사전답사비</t>
    <phoneticPr fontId="3" type="noConversion"/>
  </si>
  <si>
    <t>13시간*13명*12월</t>
    <phoneticPr fontId="3" type="noConversion"/>
  </si>
  <si>
    <t>15자부담(D)</t>
    <phoneticPr fontId="6" type="noConversion"/>
  </si>
  <si>
    <t>15보조금(C)</t>
    <phoneticPr fontId="6" type="noConversion"/>
  </si>
  <si>
    <t>16보조금(C)</t>
    <phoneticPr fontId="6" type="noConversion"/>
  </si>
  <si>
    <t>16자부담(D)</t>
    <phoneticPr fontId="6" type="noConversion"/>
  </si>
  <si>
    <t>15보조금(C)</t>
    <phoneticPr fontId="6" type="noConversion"/>
  </si>
  <si>
    <t>15자부담(D)</t>
    <phoneticPr fontId="6" type="noConversion"/>
  </si>
  <si>
    <t>0 정부보조반환금</t>
    <phoneticPr fontId="3" type="noConversion"/>
  </si>
  <si>
    <t>15자부담(D)</t>
    <phoneticPr fontId="6" type="noConversion"/>
  </si>
  <si>
    <t>15보조금(C)</t>
    <phoneticPr fontId="6" type="noConversion"/>
  </si>
  <si>
    <t>16보조금(C)</t>
    <phoneticPr fontId="6" type="noConversion"/>
  </si>
  <si>
    <t>16자부담(D)</t>
    <phoneticPr fontId="6" type="noConversion"/>
  </si>
  <si>
    <t>회</t>
    <phoneticPr fontId="3" type="noConversion"/>
  </si>
  <si>
    <t>*</t>
    <phoneticPr fontId="3" type="noConversion"/>
  </si>
  <si>
    <t>부</t>
    <phoneticPr fontId="3" type="noConversion"/>
  </si>
  <si>
    <t>월</t>
    <phoneticPr fontId="3" type="noConversion"/>
  </si>
  <si>
    <r>
      <t>점역</t>
    </r>
    <r>
      <rPr>
        <sz val="9"/>
        <rFont val="MingLiU"/>
        <family val="3"/>
        <charset val="136"/>
      </rPr>
      <t>‧</t>
    </r>
    <r>
      <rPr>
        <sz val="9"/>
        <rFont val="돋움체"/>
        <family val="3"/>
        <charset val="129"/>
      </rPr>
      <t>교정사 양성사업</t>
    </r>
    <phoneticPr fontId="6" type="noConversion"/>
  </si>
  <si>
    <t xml:space="preserve"> 0 점역교정사 정보제공사업</t>
    <phoneticPr fontId="3" type="noConversion"/>
  </si>
  <si>
    <t xml:space="preserve"> 1. 도서구입비</t>
    <phoneticPr fontId="3" type="noConversion"/>
  </si>
  <si>
    <t xml:space="preserve">  60장*300</t>
    <phoneticPr fontId="3" type="noConversion"/>
  </si>
  <si>
    <t>부</t>
    <phoneticPr fontId="3" type="noConversion"/>
  </si>
  <si>
    <t xml:space="preserve"> 0 월간지 발간사업 </t>
    <phoneticPr fontId="3" type="noConversion"/>
  </si>
  <si>
    <t xml:space="preserve"> 2. 레자크표지비</t>
    <phoneticPr fontId="3" type="noConversion"/>
  </si>
  <si>
    <t xml:space="preserve"> 0 스터디그룹 운영사업</t>
    <phoneticPr fontId="3" type="noConversion"/>
  </si>
  <si>
    <t xml:space="preserve"> 1. 점역 문제지 녹음 편집비</t>
    <phoneticPr fontId="3" type="noConversion"/>
  </si>
  <si>
    <t>회</t>
    <phoneticPr fontId="3" type="noConversion"/>
  </si>
  <si>
    <t xml:space="preserve"> 2. 매체제작비</t>
    <phoneticPr fontId="3" type="noConversion"/>
  </si>
  <si>
    <t>개</t>
    <phoneticPr fontId="3" type="noConversion"/>
  </si>
  <si>
    <t xml:space="preserve"> 4. 발송용봉투제작비</t>
    <phoneticPr fontId="3" type="noConversion"/>
  </si>
  <si>
    <t xml:space="preserve"> 3. 제본용링구입비</t>
    <phoneticPr fontId="3" type="noConversion"/>
  </si>
  <si>
    <t xml:space="preserve"> 1. 지대구입비</t>
    <phoneticPr fontId="3" type="noConversion"/>
  </si>
  <si>
    <t>ARS운영 사업비</t>
    <phoneticPr fontId="3" type="noConversion"/>
  </si>
  <si>
    <t>2016년도 학습지원센터 세입, 세출예산서</t>
    <phoneticPr fontId="6" type="noConversion"/>
  </si>
  <si>
    <r>
      <t xml:space="preserve">2015
</t>
    </r>
    <r>
      <rPr>
        <b/>
        <sz val="9"/>
        <rFont val="돋움체"/>
        <family val="3"/>
        <charset val="129"/>
      </rPr>
      <t>예산</t>
    </r>
    <r>
      <rPr>
        <b/>
        <sz val="9"/>
        <rFont val="+"/>
        <family val="2"/>
      </rPr>
      <t>(A)</t>
    </r>
    <phoneticPr fontId="6" type="noConversion"/>
  </si>
  <si>
    <r>
      <t xml:space="preserve">2016
</t>
    </r>
    <r>
      <rPr>
        <b/>
        <sz val="9"/>
        <rFont val="돋움체"/>
        <family val="3"/>
        <charset val="129"/>
      </rPr>
      <t>예산</t>
    </r>
    <r>
      <rPr>
        <b/>
        <sz val="9"/>
        <rFont val="+"/>
        <family val="2"/>
      </rPr>
      <t>(B)</t>
    </r>
    <phoneticPr fontId="6" type="noConversion"/>
  </si>
  <si>
    <t xml:space="preserve"> 0 3급 25호봉</t>
    <phoneticPr fontId="6" type="noConversion"/>
  </si>
  <si>
    <t xml:space="preserve"> 0 3급 15호봉</t>
    <phoneticPr fontId="6" type="noConversion"/>
  </si>
  <si>
    <t xml:space="preserve"> 0 4급 14호봉</t>
    <phoneticPr fontId="3" type="noConversion"/>
  </si>
  <si>
    <t xml:space="preserve"> 0 5급 11호봉</t>
    <phoneticPr fontId="6" type="noConversion"/>
  </si>
  <si>
    <t xml:space="preserve"> 0 5급 5호봉</t>
    <phoneticPr fontId="3" type="noConversion"/>
  </si>
  <si>
    <t xml:space="preserve"> 0 5급 10호봉</t>
    <phoneticPr fontId="3" type="noConversion"/>
  </si>
  <si>
    <t xml:space="preserve"> 0 5급 3호봉</t>
    <phoneticPr fontId="3" type="noConversion"/>
  </si>
  <si>
    <t xml:space="preserve"> 0 5급 2호봉</t>
    <phoneticPr fontId="6" type="noConversion"/>
  </si>
  <si>
    <t xml:space="preserve"> 0 6급 1호봉</t>
    <phoneticPr fontId="3" type="noConversion"/>
  </si>
  <si>
    <t xml:space="preserve"> 0 6급 3호봉</t>
    <phoneticPr fontId="3" type="noConversion"/>
  </si>
  <si>
    <t xml:space="preserve"> 0 6급 2호봉</t>
    <phoneticPr fontId="6" type="noConversion"/>
  </si>
  <si>
    <t xml:space="preserve"> 0 6급 2호봉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</si>
</sst>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,#00"/>
    <numFmt numFmtId="177" formatCode="\(#,##0\)"/>
    <numFmt numFmtId="178" formatCode="\(#,##0"/>
    <numFmt numFmtId="179" formatCode="#,#00\)"/>
    <numFmt numFmtId="180" formatCode="\(#,#00"/>
    <numFmt numFmtId="181" formatCode="#,##0\)"/>
    <numFmt numFmtId="182" formatCode="#,##0_ "/>
    <numFmt numFmtId="183" formatCode="0_);[Red]\(0\)"/>
    <numFmt numFmtId="184" formatCode="0_);\(0\)"/>
    <numFmt numFmtId="185" formatCode="#,##0_);[Red]\(#,##0\)"/>
    <numFmt numFmtId="186" formatCode="_-* #,##0_-;\-* #,##0_-;_-* &quot;-&quot;??_-;_-@_-"/>
    <numFmt numFmtId="187" formatCode="#,##0_);\(#,##0\)"/>
    <numFmt numFmtId="188" formatCode="#,##0;[Red]#,##0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6"/>
      <name val="돋움체"/>
      <family val="3"/>
      <charset val="129"/>
    </font>
    <font>
      <sz val="11"/>
      <name val="돋움"/>
      <family val="3"/>
      <charset val="129"/>
    </font>
    <font>
      <sz val="9"/>
      <color theme="1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돋움체"/>
      <family val="3"/>
      <charset val="129"/>
    </font>
    <font>
      <b/>
      <sz val="8"/>
      <name val="돋움체"/>
      <family val="3"/>
      <charset val="129"/>
    </font>
    <font>
      <sz val="8"/>
      <name val="돋움체"/>
      <family val="3"/>
      <charset val="129"/>
    </font>
    <font>
      <sz val="1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3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+"/>
    </font>
    <font>
      <b/>
      <sz val="9"/>
      <name val="+"/>
      <family val="2"/>
    </font>
    <font>
      <sz val="9"/>
      <color theme="1"/>
      <name val="+"/>
      <family val="2"/>
    </font>
    <font>
      <sz val="9"/>
      <name val="+"/>
      <family val="2"/>
    </font>
    <font>
      <sz val="9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MingLiU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9" fillId="0" borderId="0"/>
    <xf numFmtId="9" fontId="1" fillId="0" borderId="0" applyFont="0" applyFill="0" applyBorder="0" applyAlignment="0" applyProtection="0">
      <alignment vertical="center"/>
    </xf>
  </cellStyleXfs>
  <cellXfs count="527">
    <xf numFmtId="0" fontId="0" fillId="0" borderId="0" xfId="0">
      <alignment vertical="center"/>
    </xf>
    <xf numFmtId="0" fontId="4" fillId="0" borderId="0" xfId="0" applyFont="1">
      <alignment vertical="center"/>
    </xf>
    <xf numFmtId="41" fontId="4" fillId="0" borderId="0" xfId="0" applyNumberFormat="1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1" fontId="12" fillId="0" borderId="0" xfId="1" applyFont="1">
      <alignment vertical="center"/>
    </xf>
    <xf numFmtId="0" fontId="7" fillId="0" borderId="0" xfId="3" applyFont="1" applyFill="1" applyBorder="1" applyAlignment="1">
      <alignment vertical="center"/>
    </xf>
    <xf numFmtId="0" fontId="7" fillId="0" borderId="0" xfId="3" quotePrefix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9" fontId="4" fillId="0" borderId="0" xfId="0" applyNumberFormat="1" applyFont="1" applyFill="1">
      <alignment vertical="center"/>
    </xf>
    <xf numFmtId="0" fontId="12" fillId="0" borderId="0" xfId="0" applyFont="1" applyFill="1">
      <alignment vertical="center"/>
    </xf>
    <xf numFmtId="41" fontId="12" fillId="0" borderId="0" xfId="0" applyNumberFormat="1" applyFont="1" applyFill="1">
      <alignment vertical="center"/>
    </xf>
    <xf numFmtId="186" fontId="12" fillId="0" borderId="0" xfId="0" applyNumberFormat="1" applyFont="1" applyFill="1">
      <alignment vertical="center"/>
    </xf>
    <xf numFmtId="0" fontId="17" fillId="0" borderId="0" xfId="0" applyFont="1" applyFill="1" applyAlignment="1">
      <alignment horizontal="right" vertical="center"/>
    </xf>
    <xf numFmtId="41" fontId="17" fillId="0" borderId="0" xfId="0" applyNumberFormat="1" applyFont="1" applyFill="1" applyAlignment="1">
      <alignment horizontal="right" vertical="center"/>
    </xf>
    <xf numFmtId="186" fontId="17" fillId="0" borderId="0" xfId="0" applyNumberFormat="1" applyFont="1" applyFill="1">
      <alignment vertical="center"/>
    </xf>
    <xf numFmtId="41" fontId="17" fillId="0" borderId="0" xfId="0" applyNumberFormat="1" applyFont="1" applyFill="1">
      <alignment vertical="center"/>
    </xf>
    <xf numFmtId="0" fontId="17" fillId="0" borderId="0" xfId="0" applyFont="1" applyFill="1">
      <alignment vertical="center"/>
    </xf>
    <xf numFmtId="186" fontId="17" fillId="0" borderId="0" xfId="0" applyNumberFormat="1" applyFont="1" applyFill="1" applyAlignment="1">
      <alignment horizontal="right" vertical="center"/>
    </xf>
    <xf numFmtId="41" fontId="4" fillId="0" borderId="0" xfId="1" applyFont="1" applyFill="1">
      <alignment vertical="center"/>
    </xf>
    <xf numFmtId="0" fontId="19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right" vertical="center"/>
    </xf>
    <xf numFmtId="9" fontId="15" fillId="0" borderId="0" xfId="0" applyNumberFormat="1" applyFont="1" applyAlignment="1">
      <alignment horizontal="right" vertical="center"/>
    </xf>
    <xf numFmtId="0" fontId="22" fillId="0" borderId="0" xfId="0" applyFont="1">
      <alignment vertical="center"/>
    </xf>
    <xf numFmtId="0" fontId="21" fillId="0" borderId="8" xfId="0" applyFont="1" applyBorder="1" applyAlignment="1">
      <alignment horizontal="center" vertical="center"/>
    </xf>
    <xf numFmtId="9" fontId="21" fillId="0" borderId="11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7" xfId="0" applyFont="1" applyBorder="1" applyAlignment="1">
      <alignment vertical="center"/>
    </xf>
    <xf numFmtId="0" fontId="23" fillId="0" borderId="14" xfId="0" applyFont="1" applyBorder="1" applyAlignment="1">
      <alignment horizontal="center" vertical="center"/>
    </xf>
    <xf numFmtId="0" fontId="23" fillId="0" borderId="19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4" xfId="0" applyFont="1" applyBorder="1" applyAlignment="1">
      <alignment vertical="center"/>
    </xf>
    <xf numFmtId="0" fontId="23" fillId="0" borderId="1" xfId="0" applyFont="1" applyBorder="1" applyAlignment="1">
      <alignment vertical="center" wrapText="1"/>
    </xf>
    <xf numFmtId="0" fontId="23" fillId="0" borderId="7" xfId="0" applyFont="1" applyBorder="1" applyAlignment="1">
      <alignment vertical="center" wrapText="1"/>
    </xf>
    <xf numFmtId="0" fontId="23" fillId="0" borderId="19" xfId="0" applyFont="1" applyBorder="1" applyAlignment="1">
      <alignment horizontal="center" vertical="center"/>
    </xf>
    <xf numFmtId="0" fontId="22" fillId="0" borderId="12" xfId="0" applyFont="1" applyBorder="1" applyAlignment="1"/>
    <xf numFmtId="0" fontId="22" fillId="0" borderId="14" xfId="0" applyFont="1" applyBorder="1" applyAlignment="1"/>
    <xf numFmtId="0" fontId="22" fillId="0" borderId="22" xfId="0" applyFont="1" applyBorder="1" applyAlignment="1"/>
    <xf numFmtId="0" fontId="23" fillId="0" borderId="19" xfId="0" applyFont="1" applyBorder="1" applyAlignment="1"/>
    <xf numFmtId="0" fontId="22" fillId="0" borderId="5" xfId="0" applyFont="1" applyBorder="1" applyAlignment="1"/>
    <xf numFmtId="0" fontId="22" fillId="0" borderId="9" xfId="0" applyFont="1" applyBorder="1" applyAlignment="1"/>
    <xf numFmtId="0" fontId="23" fillId="0" borderId="14" xfId="0" applyFont="1" applyBorder="1" applyAlignment="1"/>
    <xf numFmtId="0" fontId="23" fillId="0" borderId="23" xfId="0" applyFont="1" applyBorder="1" applyAlignment="1"/>
    <xf numFmtId="0" fontId="22" fillId="0" borderId="7" xfId="0" applyFont="1" applyBorder="1" applyAlignment="1"/>
    <xf numFmtId="0" fontId="22" fillId="0" borderId="21" xfId="0" applyFont="1" applyBorder="1" applyAlignment="1"/>
    <xf numFmtId="0" fontId="23" fillId="0" borderId="24" xfId="0" applyFont="1" applyBorder="1" applyAlignment="1"/>
    <xf numFmtId="0" fontId="23" fillId="0" borderId="7" xfId="0" applyFont="1" applyBorder="1" applyAlignment="1"/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Alignment="1">
      <alignment horizontal="right" vertical="center"/>
    </xf>
    <xf numFmtId="9" fontId="23" fillId="0" borderId="0" xfId="0" applyNumberFormat="1" applyFont="1" applyAlignment="1">
      <alignment horizontal="right" vertical="center"/>
    </xf>
    <xf numFmtId="0" fontId="23" fillId="0" borderId="23" xfId="0" applyFont="1" applyBorder="1" applyAlignment="1">
      <alignment horizontal="center" vertical="center"/>
    </xf>
    <xf numFmtId="0" fontId="23" fillId="0" borderId="12" xfId="0" applyFont="1" applyBorder="1" applyAlignment="1"/>
    <xf numFmtId="0" fontId="22" fillId="0" borderId="19" xfId="0" applyFont="1" applyBorder="1" applyAlignment="1"/>
    <xf numFmtId="9" fontId="0" fillId="0" borderId="0" xfId="0" applyNumberFormat="1">
      <alignment vertical="center"/>
    </xf>
    <xf numFmtId="0" fontId="22" fillId="0" borderId="1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/>
    <xf numFmtId="0" fontId="23" fillId="0" borderId="0" xfId="0" applyFont="1" applyBorder="1" applyAlignment="1"/>
    <xf numFmtId="0" fontId="23" fillId="0" borderId="0" xfId="0" applyFont="1" applyBorder="1" applyAlignment="1">
      <alignment horizontal="center" vertical="center"/>
    </xf>
    <xf numFmtId="41" fontId="23" fillId="0" borderId="0" xfId="2" applyNumberFormat="1" applyFont="1" applyBorder="1" applyAlignment="1">
      <alignment horizontal="right" vertical="center" wrapText="1"/>
    </xf>
    <xf numFmtId="41" fontId="23" fillId="0" borderId="0" xfId="2" applyFont="1" applyBorder="1" applyAlignment="1">
      <alignment horizontal="right" vertical="center" wrapText="1"/>
    </xf>
    <xf numFmtId="176" fontId="23" fillId="0" borderId="0" xfId="2" applyNumberFormat="1" applyFont="1" applyBorder="1" applyAlignment="1">
      <alignment horizontal="right" vertical="center"/>
    </xf>
    <xf numFmtId="9" fontId="23" fillId="0" borderId="0" xfId="0" applyNumberFormat="1" applyFont="1" applyBorder="1" applyAlignment="1">
      <alignment horizontal="right" vertical="center"/>
    </xf>
    <xf numFmtId="0" fontId="23" fillId="0" borderId="11" xfId="0" applyFont="1" applyBorder="1" applyAlignment="1">
      <alignment horizontal="center" vertical="center"/>
    </xf>
    <xf numFmtId="41" fontId="23" fillId="0" borderId="11" xfId="2" applyNumberFormat="1" applyFont="1" applyBorder="1" applyAlignment="1">
      <alignment horizontal="right" vertical="center" wrapText="1"/>
    </xf>
    <xf numFmtId="41" fontId="23" fillId="0" borderId="11" xfId="2" applyFont="1" applyBorder="1" applyAlignment="1">
      <alignment horizontal="right" vertical="center" wrapText="1"/>
    </xf>
    <xf numFmtId="176" fontId="23" fillId="0" borderId="11" xfId="2" applyNumberFormat="1" applyFont="1" applyBorder="1" applyAlignment="1">
      <alignment horizontal="right" vertical="center"/>
    </xf>
    <xf numFmtId="0" fontId="23" fillId="0" borderId="11" xfId="0" applyFont="1" applyBorder="1" applyAlignment="1"/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3" fillId="0" borderId="3" xfId="0" applyFont="1" applyBorder="1" applyAlignment="1"/>
    <xf numFmtId="0" fontId="23" fillId="0" borderId="11" xfId="0" applyNumberFormat="1" applyFont="1" applyBorder="1" applyAlignment="1">
      <alignment horizontal="right" vertical="center"/>
    </xf>
    <xf numFmtId="41" fontId="12" fillId="0" borderId="0" xfId="1" applyFont="1" applyFill="1">
      <alignment vertical="center"/>
    </xf>
    <xf numFmtId="0" fontId="16" fillId="0" borderId="0" xfId="0" applyFont="1" applyFill="1">
      <alignment vertical="center"/>
    </xf>
    <xf numFmtId="41" fontId="16" fillId="0" borderId="0" xfId="1" applyFont="1" applyFill="1">
      <alignment vertical="center"/>
    </xf>
    <xf numFmtId="41" fontId="16" fillId="0" borderId="0" xfId="0" applyNumberFormat="1" applyFont="1" applyFill="1">
      <alignment vertical="center"/>
    </xf>
    <xf numFmtId="41" fontId="17" fillId="0" borderId="0" xfId="1" applyFont="1" applyFill="1">
      <alignment vertical="center"/>
    </xf>
    <xf numFmtId="9" fontId="12" fillId="0" borderId="0" xfId="1" applyNumberFormat="1" applyFont="1" applyFill="1">
      <alignment vertical="center"/>
    </xf>
    <xf numFmtId="0" fontId="7" fillId="2" borderId="0" xfId="3" applyFont="1" applyFill="1" applyBorder="1" applyAlignment="1">
      <alignment horizontal="left" vertical="center"/>
    </xf>
    <xf numFmtId="41" fontId="7" fillId="2" borderId="0" xfId="2" applyFont="1" applyFill="1" applyBorder="1" applyAlignment="1">
      <alignment vertical="center"/>
    </xf>
    <xf numFmtId="0" fontId="7" fillId="2" borderId="0" xfId="3" quotePrefix="1" applyFont="1" applyFill="1" applyBorder="1" applyAlignment="1">
      <alignment vertical="center"/>
    </xf>
    <xf numFmtId="0" fontId="7" fillId="2" borderId="0" xfId="3" applyFont="1" applyFill="1" applyBorder="1" applyAlignment="1">
      <alignment vertical="center"/>
    </xf>
    <xf numFmtId="0" fontId="7" fillId="2" borderId="5" xfId="3" applyFont="1" applyFill="1" applyBorder="1" applyAlignment="1">
      <alignment vertical="center"/>
    </xf>
    <xf numFmtId="176" fontId="7" fillId="2" borderId="13" xfId="3" applyNumberFormat="1" applyFont="1" applyFill="1" applyBorder="1" applyAlignment="1">
      <alignment vertical="center"/>
    </xf>
    <xf numFmtId="0" fontId="4" fillId="2" borderId="0" xfId="0" applyFont="1" applyFill="1">
      <alignment vertical="center"/>
    </xf>
    <xf numFmtId="180" fontId="7" fillId="2" borderId="0" xfId="2" applyNumberFormat="1" applyFont="1" applyFill="1" applyBorder="1" applyAlignment="1">
      <alignment vertical="center"/>
    </xf>
    <xf numFmtId="181" fontId="7" fillId="2" borderId="13" xfId="3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178" fontId="7" fillId="2" borderId="0" xfId="1" applyNumberFormat="1" applyFont="1" applyFill="1" applyBorder="1" applyAlignment="1">
      <alignment vertical="center"/>
    </xf>
    <xf numFmtId="0" fontId="7" fillId="2" borderId="0" xfId="0" quotePrefix="1" applyFont="1" applyFill="1" applyBorder="1" applyAlignment="1">
      <alignment vertical="center"/>
    </xf>
    <xf numFmtId="0" fontId="7" fillId="2" borderId="9" xfId="0" applyFont="1" applyFill="1" applyBorder="1" applyAlignment="1">
      <alignment vertical="center"/>
    </xf>
    <xf numFmtId="178" fontId="7" fillId="2" borderId="9" xfId="1" applyNumberFormat="1" applyFont="1" applyFill="1" applyBorder="1" applyAlignment="1">
      <alignment vertical="center"/>
    </xf>
    <xf numFmtId="0" fontId="7" fillId="2" borderId="9" xfId="3" applyFont="1" applyFill="1" applyBorder="1" applyAlignment="1">
      <alignment vertical="center"/>
    </xf>
    <xf numFmtId="0" fontId="7" fillId="2" borderId="9" xfId="0" quotePrefix="1" applyFont="1" applyFill="1" applyBorder="1" applyAlignment="1">
      <alignment vertical="center"/>
    </xf>
    <xf numFmtId="183" fontId="7" fillId="2" borderId="9" xfId="1" applyNumberFormat="1" applyFont="1" applyFill="1" applyBorder="1" applyAlignment="1">
      <alignment vertical="center"/>
    </xf>
    <xf numFmtId="177" fontId="7" fillId="2" borderId="10" xfId="3" applyNumberFormat="1" applyFont="1" applyFill="1" applyBorder="1" applyAlignment="1">
      <alignment vertical="center"/>
    </xf>
    <xf numFmtId="41" fontId="7" fillId="2" borderId="0" xfId="1" applyFont="1" applyFill="1" applyBorder="1" applyAlignment="1">
      <alignment horizontal="right" vertical="center"/>
    </xf>
    <xf numFmtId="181" fontId="7" fillId="2" borderId="13" xfId="0" applyNumberFormat="1" applyFont="1" applyFill="1" applyBorder="1" applyAlignment="1">
      <alignment vertical="center"/>
    </xf>
    <xf numFmtId="41" fontId="7" fillId="2" borderId="0" xfId="1" applyFont="1" applyFill="1" applyBorder="1" applyAlignment="1">
      <alignment vertical="center"/>
    </xf>
    <xf numFmtId="177" fontId="7" fillId="2" borderId="13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41" fontId="7" fillId="2" borderId="5" xfId="1" applyFont="1" applyFill="1" applyBorder="1" applyAlignment="1">
      <alignment vertical="center"/>
    </xf>
    <xf numFmtId="49" fontId="14" fillId="2" borderId="5" xfId="1" applyNumberFormat="1" applyFont="1" applyFill="1" applyBorder="1" applyAlignment="1">
      <alignment vertical="center"/>
    </xf>
    <xf numFmtId="49" fontId="14" fillId="2" borderId="5" xfId="0" applyNumberFormat="1" applyFont="1" applyFill="1" applyBorder="1" applyAlignment="1">
      <alignment vertical="center"/>
    </xf>
    <xf numFmtId="49" fontId="7" fillId="2" borderId="5" xfId="0" quotePrefix="1" applyNumberFormat="1" applyFont="1" applyFill="1" applyBorder="1" applyAlignment="1">
      <alignment vertical="center"/>
    </xf>
    <xf numFmtId="0" fontId="7" fillId="2" borderId="5" xfId="0" applyNumberFormat="1" applyFont="1" applyFill="1" applyBorder="1" applyAlignment="1">
      <alignment vertical="center"/>
    </xf>
    <xf numFmtId="186" fontId="7" fillId="2" borderId="6" xfId="0" applyNumberFormat="1" applyFont="1" applyFill="1" applyBorder="1" applyAlignment="1">
      <alignment vertical="center"/>
    </xf>
    <xf numFmtId="49" fontId="14" fillId="2" borderId="0" xfId="0" applyNumberFormat="1" applyFont="1" applyFill="1" applyBorder="1" applyAlignment="1">
      <alignment vertical="center"/>
    </xf>
    <xf numFmtId="49" fontId="7" fillId="2" borderId="0" xfId="0" quotePrefix="1" applyNumberFormat="1" applyFont="1" applyFill="1" applyBorder="1" applyAlignment="1">
      <alignment vertical="center"/>
    </xf>
    <xf numFmtId="41" fontId="7" fillId="2" borderId="13" xfId="0" applyNumberFormat="1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49" fontId="14" fillId="2" borderId="0" xfId="1" applyNumberFormat="1" applyFont="1" applyFill="1" applyBorder="1" applyAlignment="1">
      <alignment vertical="center"/>
    </xf>
    <xf numFmtId="0" fontId="7" fillId="2" borderId="0" xfId="0" applyNumberFormat="1" applyFont="1" applyFill="1" applyBorder="1" applyAlignment="1">
      <alignment vertical="center"/>
    </xf>
    <xf numFmtId="179" fontId="7" fillId="2" borderId="13" xfId="0" applyNumberFormat="1" applyFont="1" applyFill="1" applyBorder="1" applyAlignment="1">
      <alignment vertical="center"/>
    </xf>
    <xf numFmtId="49" fontId="14" fillId="2" borderId="0" xfId="0" quotePrefix="1" applyNumberFormat="1" applyFont="1" applyFill="1" applyBorder="1" applyAlignment="1">
      <alignment vertical="center"/>
    </xf>
    <xf numFmtId="184" fontId="7" fillId="2" borderId="0" xfId="0" quotePrefix="1" applyNumberFormat="1" applyFont="1" applyFill="1" applyBorder="1" applyAlignment="1">
      <alignment vertical="center"/>
    </xf>
    <xf numFmtId="178" fontId="14" fillId="2" borderId="9" xfId="1" applyNumberFormat="1" applyFont="1" applyFill="1" applyBorder="1" applyAlignment="1">
      <alignment vertical="center"/>
    </xf>
    <xf numFmtId="49" fontId="14" fillId="2" borderId="9" xfId="0" quotePrefix="1" applyNumberFormat="1" applyFont="1" applyFill="1" applyBorder="1" applyAlignment="1">
      <alignment vertical="center"/>
    </xf>
    <xf numFmtId="184" fontId="7" fillId="2" borderId="9" xfId="0" quotePrefix="1" applyNumberFormat="1" applyFont="1" applyFill="1" applyBorder="1" applyAlignment="1">
      <alignment vertical="center"/>
    </xf>
    <xf numFmtId="0" fontId="4" fillId="2" borderId="9" xfId="0" applyFont="1" applyFill="1" applyBorder="1">
      <alignment vertical="center"/>
    </xf>
    <xf numFmtId="177" fontId="10" fillId="2" borderId="10" xfId="0" applyNumberFormat="1" applyFont="1" applyFill="1" applyBorder="1">
      <alignment vertical="center"/>
    </xf>
    <xf numFmtId="0" fontId="7" fillId="2" borderId="0" xfId="3" applyNumberFormat="1" applyFont="1" applyFill="1" applyBorder="1" applyAlignment="1">
      <alignment horizontal="left" vertical="center"/>
    </xf>
    <xf numFmtId="0" fontId="7" fillId="2" borderId="12" xfId="3" applyNumberFormat="1" applyFont="1" applyFill="1" applyBorder="1" applyAlignment="1">
      <alignment horizontal="left" vertical="center"/>
    </xf>
    <xf numFmtId="176" fontId="7" fillId="2" borderId="0" xfId="2" applyNumberFormat="1" applyFont="1" applyFill="1" applyBorder="1" applyAlignment="1">
      <alignment horizontal="right" vertical="center"/>
    </xf>
    <xf numFmtId="180" fontId="7" fillId="2" borderId="0" xfId="2" applyNumberFormat="1" applyFont="1" applyFill="1" applyBorder="1" applyAlignment="1">
      <alignment horizontal="right" vertical="center"/>
    </xf>
    <xf numFmtId="179" fontId="7" fillId="2" borderId="13" xfId="3" applyNumberFormat="1" applyFont="1" applyFill="1" applyBorder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0" fontId="7" fillId="2" borderId="0" xfId="3" quotePrefix="1" applyNumberFormat="1" applyFont="1" applyFill="1" applyBorder="1" applyAlignment="1">
      <alignment vertical="center"/>
    </xf>
    <xf numFmtId="0" fontId="7" fillId="2" borderId="0" xfId="0" quotePrefix="1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horizontal="right" vertical="center"/>
    </xf>
    <xf numFmtId="0" fontId="7" fillId="2" borderId="0" xfId="0" applyFont="1" applyFill="1" applyBorder="1" applyAlignment="1">
      <alignment horizontal="right" vertical="center"/>
    </xf>
    <xf numFmtId="185" fontId="7" fillId="2" borderId="13" xfId="1" applyNumberFormat="1" applyFont="1" applyFill="1" applyBorder="1" applyAlignment="1">
      <alignment vertical="center"/>
    </xf>
    <xf numFmtId="180" fontId="7" fillId="2" borderId="0" xfId="1" applyNumberFormat="1" applyFont="1" applyFill="1" applyBorder="1" applyAlignment="1">
      <alignment vertical="center"/>
    </xf>
    <xf numFmtId="181" fontId="7" fillId="2" borderId="13" xfId="1" applyNumberFormat="1" applyFont="1" applyFill="1" applyBorder="1" applyAlignment="1">
      <alignment vertical="center"/>
    </xf>
    <xf numFmtId="178" fontId="7" fillId="2" borderId="0" xfId="1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/>
    </xf>
    <xf numFmtId="185" fontId="7" fillId="2" borderId="6" xfId="0" applyNumberFormat="1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7" fillId="2" borderId="9" xfId="3" quotePrefix="1" applyFont="1" applyFill="1" applyBorder="1" applyAlignment="1">
      <alignment horizontal="left" vertical="center"/>
    </xf>
    <xf numFmtId="41" fontId="7" fillId="2" borderId="9" xfId="2" applyFont="1" applyFill="1" applyBorder="1" applyAlignment="1">
      <alignment vertical="center"/>
    </xf>
    <xf numFmtId="0" fontId="7" fillId="2" borderId="9" xfId="3" quotePrefix="1" applyFont="1" applyFill="1" applyBorder="1" applyAlignment="1">
      <alignment vertical="center"/>
    </xf>
    <xf numFmtId="176" fontId="7" fillId="2" borderId="10" xfId="3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7" fillId="2" borderId="0" xfId="3" applyNumberFormat="1" applyFont="1" applyFill="1" applyBorder="1" applyAlignment="1">
      <alignment horizontal="left" vertical="center" wrapText="1"/>
    </xf>
    <xf numFmtId="177" fontId="7" fillId="2" borderId="13" xfId="1" applyNumberFormat="1" applyFont="1" applyFill="1" applyBorder="1" applyAlignment="1">
      <alignment vertical="center" wrapText="1"/>
    </xf>
    <xf numFmtId="180" fontId="7" fillId="2" borderId="0" xfId="1" applyNumberFormat="1" applyFont="1" applyFill="1" applyBorder="1" applyAlignment="1">
      <alignment horizontal="right" vertical="center"/>
    </xf>
    <xf numFmtId="176" fontId="7" fillId="2" borderId="0" xfId="0" quotePrefix="1" applyNumberFormat="1" applyFont="1" applyFill="1" applyBorder="1" applyAlignment="1">
      <alignment vertical="center"/>
    </xf>
    <xf numFmtId="179" fontId="7" fillId="2" borderId="13" xfId="1" applyNumberFormat="1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185" fontId="7" fillId="2" borderId="13" xfId="0" applyNumberFormat="1" applyFont="1" applyFill="1" applyBorder="1" applyAlignment="1">
      <alignment vertical="center" wrapText="1"/>
    </xf>
    <xf numFmtId="0" fontId="7" fillId="2" borderId="8" xfId="0" applyNumberFormat="1" applyFont="1" applyFill="1" applyBorder="1" applyAlignment="1">
      <alignment horizontal="left" vertical="center"/>
    </xf>
    <xf numFmtId="0" fontId="7" fillId="2" borderId="9" xfId="1" applyNumberFormat="1" applyFont="1" applyFill="1" applyBorder="1" applyAlignment="1">
      <alignment horizontal="right" vertical="center"/>
    </xf>
    <xf numFmtId="0" fontId="7" fillId="2" borderId="9" xfId="0" applyNumberFormat="1" applyFont="1" applyFill="1" applyBorder="1" applyAlignment="1">
      <alignment horizontal="center" vertical="center"/>
    </xf>
    <xf numFmtId="176" fontId="7" fillId="2" borderId="10" xfId="0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horizontal="center" vertical="center"/>
    </xf>
    <xf numFmtId="0" fontId="7" fillId="2" borderId="5" xfId="1" applyNumberFormat="1" applyFont="1" applyFill="1" applyBorder="1" applyAlignment="1">
      <alignment horizontal="left" vertical="center"/>
    </xf>
    <xf numFmtId="176" fontId="7" fillId="2" borderId="6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horizontal="center" vertical="center"/>
    </xf>
    <xf numFmtId="0" fontId="7" fillId="2" borderId="0" xfId="1" applyNumberFormat="1" applyFont="1" applyFill="1" applyBorder="1" applyAlignment="1">
      <alignment horizontal="left" vertical="center"/>
    </xf>
    <xf numFmtId="176" fontId="7" fillId="2" borderId="13" xfId="1" applyNumberFormat="1" applyFont="1" applyFill="1" applyBorder="1" applyAlignment="1">
      <alignment vertical="center"/>
    </xf>
    <xf numFmtId="41" fontId="7" fillId="2" borderId="9" xfId="1" applyFont="1" applyFill="1" applyBorder="1" applyAlignment="1">
      <alignment vertical="center"/>
    </xf>
    <xf numFmtId="0" fontId="7" fillId="2" borderId="9" xfId="1" applyNumberFormat="1" applyFont="1" applyFill="1" applyBorder="1" applyAlignment="1">
      <alignment horizontal="center" vertical="center"/>
    </xf>
    <xf numFmtId="0" fontId="7" fillId="2" borderId="9" xfId="1" applyNumberFormat="1" applyFont="1" applyFill="1" applyBorder="1" applyAlignment="1">
      <alignment horizontal="left" vertical="center"/>
    </xf>
    <xf numFmtId="41" fontId="10" fillId="2" borderId="0" xfId="1" applyFont="1" applyFill="1" applyBorder="1" applyAlignment="1">
      <alignment vertical="center"/>
    </xf>
    <xf numFmtId="41" fontId="7" fillId="2" borderId="13" xfId="1" applyFont="1" applyFill="1" applyBorder="1" applyAlignment="1">
      <alignment vertical="center"/>
    </xf>
    <xf numFmtId="0" fontId="10" fillId="2" borderId="0" xfId="0" applyFont="1" applyFill="1" applyBorder="1">
      <alignment vertical="center"/>
    </xf>
    <xf numFmtId="176" fontId="10" fillId="2" borderId="0" xfId="1" applyNumberFormat="1" applyFont="1" applyFill="1" applyBorder="1" applyAlignment="1">
      <alignment vertical="center"/>
    </xf>
    <xf numFmtId="41" fontId="12" fillId="2" borderId="0" xfId="1" applyFont="1" applyFill="1">
      <alignment vertical="center"/>
    </xf>
    <xf numFmtId="41" fontId="12" fillId="2" borderId="0" xfId="1" applyFont="1" applyFill="1" applyAlignment="1">
      <alignment horizontal="center" vertical="center"/>
    </xf>
    <xf numFmtId="41" fontId="12" fillId="2" borderId="13" xfId="1" applyFont="1" applyFill="1" applyBorder="1">
      <alignment vertical="center"/>
    </xf>
    <xf numFmtId="176" fontId="7" fillId="2" borderId="13" xfId="1" applyNumberFormat="1" applyFont="1" applyFill="1" applyBorder="1" applyAlignment="1">
      <alignment vertical="center" wrapText="1"/>
    </xf>
    <xf numFmtId="185" fontId="7" fillId="2" borderId="13" xfId="1" applyNumberFormat="1" applyFont="1" applyFill="1" applyBorder="1" applyAlignment="1">
      <alignment vertical="center" wrapText="1"/>
    </xf>
    <xf numFmtId="176" fontId="10" fillId="2" borderId="13" xfId="0" applyNumberFormat="1" applyFont="1" applyFill="1" applyBorder="1">
      <alignment vertical="center"/>
    </xf>
    <xf numFmtId="178" fontId="7" fillId="2" borderId="0" xfId="1" applyNumberFormat="1" applyFont="1" applyFill="1" applyBorder="1" applyAlignment="1">
      <alignment horizontal="right" vertical="center"/>
    </xf>
    <xf numFmtId="0" fontId="15" fillId="2" borderId="0" xfId="0" applyFont="1" applyFill="1" applyBorder="1" applyAlignment="1">
      <alignment vertical="center"/>
    </xf>
    <xf numFmtId="49" fontId="7" fillId="2" borderId="0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 wrapText="1"/>
    </xf>
    <xf numFmtId="178" fontId="7" fillId="2" borderId="9" xfId="1" applyNumberFormat="1" applyFont="1" applyFill="1" applyBorder="1" applyAlignment="1">
      <alignment horizontal="right" vertical="center"/>
    </xf>
    <xf numFmtId="0" fontId="7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/>
    </xf>
    <xf numFmtId="49" fontId="7" fillId="2" borderId="9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 wrapText="1"/>
    </xf>
    <xf numFmtId="0" fontId="7" fillId="2" borderId="0" xfId="0" applyNumberFormat="1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left" vertical="center"/>
    </xf>
    <xf numFmtId="177" fontId="7" fillId="2" borderId="10" xfId="1" applyNumberFormat="1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178" fontId="7" fillId="2" borderId="5" xfId="1" applyNumberFormat="1" applyFont="1" applyFill="1" applyBorder="1" applyAlignment="1">
      <alignment horizontal="center" vertical="center"/>
    </xf>
    <xf numFmtId="178" fontId="7" fillId="2" borderId="9" xfId="1" applyNumberFormat="1" applyFont="1" applyFill="1" applyBorder="1" applyAlignment="1">
      <alignment horizontal="center" vertical="center"/>
    </xf>
    <xf numFmtId="177" fontId="7" fillId="2" borderId="13" xfId="1" applyNumberFormat="1" applyFont="1" applyFill="1" applyBorder="1" applyAlignment="1">
      <alignment vertical="center"/>
    </xf>
    <xf numFmtId="181" fontId="7" fillId="2" borderId="6" xfId="0" applyNumberFormat="1" applyFont="1" applyFill="1" applyBorder="1" applyAlignment="1">
      <alignment vertical="center"/>
    </xf>
    <xf numFmtId="178" fontId="7" fillId="2" borderId="5" xfId="1" applyNumberFormat="1" applyFont="1" applyFill="1" applyBorder="1" applyAlignment="1">
      <alignment vertical="center"/>
    </xf>
    <xf numFmtId="177" fontId="10" fillId="2" borderId="10" xfId="0" applyNumberFormat="1" applyFont="1" applyFill="1" applyBorder="1" applyAlignment="1">
      <alignment vertical="center"/>
    </xf>
    <xf numFmtId="185" fontId="7" fillId="2" borderId="13" xfId="0" applyNumberFormat="1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41" fontId="10" fillId="2" borderId="6" xfId="0" applyNumberFormat="1" applyFont="1" applyFill="1" applyBorder="1">
      <alignment vertical="center"/>
    </xf>
    <xf numFmtId="0" fontId="5" fillId="2" borderId="0" xfId="0" applyFont="1" applyFill="1" applyBorder="1" applyAlignment="1">
      <alignment vertical="center"/>
    </xf>
    <xf numFmtId="41" fontId="10" fillId="2" borderId="13" xfId="0" applyNumberFormat="1" applyFont="1" applyFill="1" applyBorder="1" applyAlignment="1">
      <alignment vertical="center"/>
    </xf>
    <xf numFmtId="176" fontId="7" fillId="2" borderId="0" xfId="1" applyNumberFormat="1" applyFont="1" applyFill="1" applyBorder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0" fontId="17" fillId="2" borderId="0" xfId="0" applyFont="1" applyFill="1">
      <alignment vertical="center"/>
    </xf>
    <xf numFmtId="0" fontId="16" fillId="2" borderId="0" xfId="0" applyFont="1" applyFill="1">
      <alignment vertical="center"/>
    </xf>
    <xf numFmtId="187" fontId="7" fillId="2" borderId="13" xfId="1" applyNumberFormat="1" applyFont="1" applyFill="1" applyBorder="1" applyAlignment="1">
      <alignment vertical="center" wrapText="1"/>
    </xf>
    <xf numFmtId="177" fontId="7" fillId="2" borderId="10" xfId="1" applyNumberFormat="1" applyFont="1" applyFill="1" applyBorder="1" applyAlignment="1">
      <alignment vertical="center" wrapText="1"/>
    </xf>
    <xf numFmtId="41" fontId="4" fillId="2" borderId="0" xfId="0" applyNumberFormat="1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9" fontId="4" fillId="2" borderId="0" xfId="0" applyNumberFormat="1" applyFont="1" applyFill="1" applyAlignment="1">
      <alignment horizontal="center" vertical="center"/>
    </xf>
    <xf numFmtId="177" fontId="10" fillId="2" borderId="0" xfId="1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41" fontId="7" fillId="2" borderId="5" xfId="1" applyFont="1" applyFill="1" applyBorder="1" applyAlignment="1">
      <alignment horizontal="center" vertical="center"/>
    </xf>
    <xf numFmtId="177" fontId="7" fillId="2" borderId="0" xfId="2" applyNumberFormat="1" applyFont="1" applyFill="1" applyBorder="1" applyAlignment="1">
      <alignment vertical="center"/>
    </xf>
    <xf numFmtId="177" fontId="7" fillId="2" borderId="0" xfId="3" quotePrefix="1" applyNumberFormat="1" applyFont="1" applyFill="1" applyBorder="1" applyAlignment="1">
      <alignment vertical="center"/>
    </xf>
    <xf numFmtId="177" fontId="7" fillId="2" borderId="0" xfId="3" applyNumberFormat="1" applyFont="1" applyFill="1" applyBorder="1" applyAlignment="1">
      <alignment vertical="center"/>
    </xf>
    <xf numFmtId="177" fontId="7" fillId="2" borderId="0" xfId="3" applyNumberFormat="1" applyFont="1" applyFill="1" applyBorder="1" applyAlignment="1">
      <alignment horizontal="center" vertical="center"/>
    </xf>
    <xf numFmtId="176" fontId="7" fillId="2" borderId="0" xfId="2" applyNumberFormat="1" applyFont="1" applyFill="1" applyBorder="1" applyAlignment="1">
      <alignment vertical="center"/>
    </xf>
    <xf numFmtId="176" fontId="7" fillId="2" borderId="0" xfId="3" quotePrefix="1" applyNumberFormat="1" applyFont="1" applyFill="1" applyBorder="1" applyAlignment="1">
      <alignment vertical="center"/>
    </xf>
    <xf numFmtId="176" fontId="7" fillId="2" borderId="0" xfId="3" applyNumberFormat="1" applyFont="1" applyFill="1" applyBorder="1" applyAlignment="1">
      <alignment vertical="center"/>
    </xf>
    <xf numFmtId="176" fontId="7" fillId="2" borderId="5" xfId="1" applyNumberFormat="1" applyFont="1" applyFill="1" applyBorder="1" applyAlignment="1">
      <alignment vertical="center"/>
    </xf>
    <xf numFmtId="177" fontId="7" fillId="2" borderId="0" xfId="1" applyNumberFormat="1" applyFont="1" applyFill="1" applyBorder="1" applyAlignment="1">
      <alignment vertical="center"/>
    </xf>
    <xf numFmtId="177" fontId="7" fillId="2" borderId="0" xfId="0" applyNumberFormat="1" applyFont="1" applyFill="1" applyBorder="1" applyAlignment="1">
      <alignment vertical="center"/>
    </xf>
    <xf numFmtId="188" fontId="7" fillId="2" borderId="0" xfId="1" applyNumberFormat="1" applyFont="1" applyFill="1" applyBorder="1" applyAlignment="1">
      <alignment vertical="center"/>
    </xf>
    <xf numFmtId="177" fontId="7" fillId="2" borderId="0" xfId="1" applyNumberFormat="1" applyFont="1" applyFill="1" applyBorder="1" applyAlignment="1">
      <alignment horizontal="left" vertical="center"/>
    </xf>
    <xf numFmtId="0" fontId="7" fillId="2" borderId="0" xfId="3" applyFont="1" applyFill="1" applyBorder="1" applyAlignment="1">
      <alignment horizontal="center" vertical="center"/>
    </xf>
    <xf numFmtId="177" fontId="7" fillId="2" borderId="0" xfId="1" applyNumberFormat="1" applyFont="1" applyFill="1" applyBorder="1" applyAlignment="1">
      <alignment horizontal="center" vertical="center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41" fontId="10" fillId="2" borderId="0" xfId="1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vertical="center" wrapText="1"/>
    </xf>
    <xf numFmtId="41" fontId="7" fillId="2" borderId="14" xfId="1" applyNumberFormat="1" applyFont="1" applyFill="1" applyBorder="1" applyAlignment="1">
      <alignment vertical="center" wrapText="1"/>
    </xf>
    <xf numFmtId="176" fontId="7" fillId="2" borderId="12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41" fontId="7" fillId="2" borderId="7" xfId="1" applyNumberFormat="1" applyFont="1" applyFill="1" applyBorder="1" applyAlignment="1">
      <alignment vertical="center" wrapText="1"/>
    </xf>
    <xf numFmtId="41" fontId="12" fillId="2" borderId="14" xfId="1" applyFont="1" applyFill="1" applyBorder="1">
      <alignment vertical="center"/>
    </xf>
    <xf numFmtId="176" fontId="7" fillId="2" borderId="14" xfId="0" applyNumberFormat="1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 wrapText="1"/>
    </xf>
    <xf numFmtId="9" fontId="7" fillId="2" borderId="7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41" fontId="7" fillId="2" borderId="1" xfId="1" applyNumberFormat="1" applyFont="1" applyFill="1" applyBorder="1" applyAlignment="1">
      <alignment vertical="center" wrapText="1"/>
    </xf>
    <xf numFmtId="9" fontId="7" fillId="2" borderId="14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/>
    </xf>
    <xf numFmtId="9" fontId="7" fillId="2" borderId="14" xfId="0" applyNumberFormat="1" applyFont="1" applyFill="1" applyBorder="1" applyAlignment="1">
      <alignment horizontal="center" vertical="center"/>
    </xf>
    <xf numFmtId="9" fontId="7" fillId="2" borderId="7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/>
    </xf>
    <xf numFmtId="41" fontId="7" fillId="2" borderId="14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41" fontId="7" fillId="2" borderId="3" xfId="1" applyNumberFormat="1" applyFont="1" applyFill="1" applyBorder="1" applyAlignment="1">
      <alignment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9" fontId="7" fillId="2" borderId="7" xfId="0" applyNumberFormat="1" applyFont="1" applyFill="1" applyBorder="1" applyAlignment="1">
      <alignment horizontal="center" vertical="center"/>
    </xf>
    <xf numFmtId="9" fontId="7" fillId="2" borderId="14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7" xfId="1" applyNumberFormat="1" applyFont="1" applyFill="1" applyBorder="1" applyAlignment="1">
      <alignment horizontal="center" vertical="center"/>
    </xf>
    <xf numFmtId="9" fontId="7" fillId="2" borderId="1" xfId="1" applyNumberFormat="1" applyFont="1" applyFill="1" applyBorder="1" applyAlignment="1">
      <alignment horizontal="center" vertical="center"/>
    </xf>
    <xf numFmtId="9" fontId="7" fillId="2" borderId="7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176" fontId="7" fillId="2" borderId="14" xfId="1" applyNumberFormat="1" applyFont="1" applyFill="1" applyBorder="1" applyAlignment="1">
      <alignment horizontal="center" vertical="center"/>
    </xf>
    <xf numFmtId="9" fontId="7" fillId="2" borderId="14" xfId="1" applyNumberFormat="1" applyFont="1" applyFill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/>
    </xf>
    <xf numFmtId="0" fontId="7" fillId="2" borderId="14" xfId="0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41" fontId="5" fillId="2" borderId="9" xfId="1" applyNumberFormat="1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/>
    </xf>
    <xf numFmtId="9" fontId="5" fillId="2" borderId="0" xfId="0" applyNumberFormat="1" applyFont="1" applyFill="1" applyBorder="1" applyAlignment="1">
      <alignment horizontal="center" vertical="center"/>
    </xf>
    <xf numFmtId="41" fontId="8" fillId="2" borderId="1" xfId="1" applyNumberFormat="1" applyFont="1" applyFill="1" applyBorder="1" applyAlignment="1">
      <alignment horizontal="center" vertical="center" wrapText="1"/>
    </xf>
    <xf numFmtId="9" fontId="5" fillId="2" borderId="8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4" xfId="0" applyFont="1" applyFill="1" applyBorder="1" applyAlignment="1">
      <alignment horizontal="left" vertical="center"/>
    </xf>
    <xf numFmtId="0" fontId="7" fillId="2" borderId="10" xfId="0" applyFont="1" applyFill="1" applyBorder="1" applyAlignment="1">
      <alignment vertical="center"/>
    </xf>
    <xf numFmtId="0" fontId="7" fillId="2" borderId="1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3" xfId="0" applyFont="1" applyFill="1" applyBorder="1" applyAlignment="1">
      <alignment horizontal="center" vertical="center"/>
    </xf>
    <xf numFmtId="176" fontId="7" fillId="2" borderId="0" xfId="0" applyNumberFormat="1" applyFont="1" applyFill="1" applyBorder="1" applyAlignment="1">
      <alignment horizontal="center" vertical="center"/>
    </xf>
    <xf numFmtId="9" fontId="7" fillId="2" borderId="12" xfId="0" applyNumberFormat="1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/>
    </xf>
    <xf numFmtId="41" fontId="8" fillId="2" borderId="11" xfId="1" applyNumberFormat="1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177" fontId="10" fillId="2" borderId="5" xfId="0" applyNumberFormat="1" applyFont="1" applyFill="1" applyBorder="1" applyAlignment="1">
      <alignment vertical="center"/>
    </xf>
    <xf numFmtId="177" fontId="10" fillId="2" borderId="6" xfId="0" applyNumberFormat="1" applyFont="1" applyFill="1" applyBorder="1" applyAlignment="1">
      <alignment vertical="center"/>
    </xf>
    <xf numFmtId="177" fontId="10" fillId="2" borderId="9" xfId="0" applyNumberFormat="1" applyFont="1" applyFill="1" applyBorder="1" applyAlignment="1">
      <alignment vertical="center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41" fontId="7" fillId="2" borderId="14" xfId="1" applyNumberFormat="1" applyFont="1" applyFill="1" applyBorder="1" applyAlignment="1">
      <alignment horizontal="center" vertical="center" wrapText="1"/>
    </xf>
    <xf numFmtId="176" fontId="7" fillId="2" borderId="0" xfId="1" applyNumberFormat="1" applyFont="1" applyFill="1" applyBorder="1" applyAlignment="1">
      <alignment horizontal="center" vertical="center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41" fontId="7" fillId="2" borderId="9" xfId="1" applyFont="1" applyFill="1" applyBorder="1" applyAlignment="1">
      <alignment horizontal="center" vertical="center"/>
    </xf>
    <xf numFmtId="41" fontId="7" fillId="2" borderId="11" xfId="0" applyNumberFormat="1" applyFont="1" applyFill="1" applyBorder="1" applyAlignment="1">
      <alignment vertical="center" wrapText="1"/>
    </xf>
    <xf numFmtId="0" fontId="4" fillId="2" borderId="12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13" xfId="0" applyFont="1" applyFill="1" applyBorder="1">
      <alignment vertical="center"/>
    </xf>
    <xf numFmtId="41" fontId="7" fillId="2" borderId="11" xfId="2" applyNumberFormat="1" applyFont="1" applyFill="1" applyBorder="1" applyAlignment="1">
      <alignment vertical="center" wrapText="1"/>
    </xf>
    <xf numFmtId="0" fontId="10" fillId="2" borderId="5" xfId="0" applyFont="1" applyFill="1" applyBorder="1">
      <alignment vertical="center"/>
    </xf>
    <xf numFmtId="0" fontId="10" fillId="2" borderId="9" xfId="0" applyFont="1" applyFill="1" applyBorder="1">
      <alignment vertical="center"/>
    </xf>
    <xf numFmtId="41" fontId="7" fillId="2" borderId="1" xfId="2" applyNumberFormat="1" applyFont="1" applyFill="1" applyBorder="1" applyAlignment="1">
      <alignment vertical="center" wrapText="1"/>
    </xf>
    <xf numFmtId="41" fontId="7" fillId="2" borderId="11" xfId="2" quotePrefix="1" applyNumberFormat="1" applyFont="1" applyFill="1" applyBorder="1" applyAlignment="1">
      <alignment vertical="center" wrapText="1"/>
    </xf>
    <xf numFmtId="188" fontId="7" fillId="2" borderId="0" xfId="1" applyNumberFormat="1" applyFont="1" applyFill="1" applyBorder="1" applyAlignment="1">
      <alignment horizontal="center" vertical="center"/>
    </xf>
    <xf numFmtId="41" fontId="12" fillId="0" borderId="13" xfId="1" applyFont="1" applyBorder="1">
      <alignment vertical="center"/>
    </xf>
    <xf numFmtId="0" fontId="18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horizontal="right" vertical="center" wrapText="1"/>
    </xf>
    <xf numFmtId="176" fontId="23" fillId="0" borderId="7" xfId="2" applyNumberFormat="1" applyFont="1" applyBorder="1" applyAlignment="1">
      <alignment horizontal="right" vertical="center"/>
    </xf>
    <xf numFmtId="9" fontId="23" fillId="0" borderId="1" xfId="0" applyNumberFormat="1" applyFont="1" applyBorder="1" applyAlignment="1">
      <alignment horizontal="right" vertical="center" wrapText="1"/>
    </xf>
    <xf numFmtId="9" fontId="23" fillId="0" borderId="7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3" fontId="23" fillId="0" borderId="1" xfId="0" applyNumberFormat="1" applyFont="1" applyBorder="1" applyAlignment="1">
      <alignment horizontal="right" vertical="center"/>
    </xf>
    <xf numFmtId="3" fontId="23" fillId="0" borderId="7" xfId="0" applyNumberFormat="1" applyFont="1" applyBorder="1" applyAlignment="1">
      <alignment horizontal="right" vertical="center"/>
    </xf>
    <xf numFmtId="9" fontId="23" fillId="0" borderId="4" xfId="0" applyNumberFormat="1" applyFont="1" applyBorder="1" applyAlignment="1">
      <alignment horizontal="right" vertical="center" wrapText="1"/>
    </xf>
    <xf numFmtId="9" fontId="23" fillId="0" borderId="8" xfId="0" applyNumberFormat="1" applyFont="1" applyBorder="1" applyAlignment="1">
      <alignment horizontal="right" vertical="center"/>
    </xf>
    <xf numFmtId="41" fontId="23" fillId="0" borderId="1" xfId="0" applyNumberFormat="1" applyFont="1" applyBorder="1" applyAlignment="1">
      <alignment horizontal="right" vertical="center" wrapText="1"/>
    </xf>
    <xf numFmtId="0" fontId="23" fillId="0" borderId="7" xfId="0" applyFont="1" applyBorder="1" applyAlignment="1">
      <alignment horizontal="right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41" fontId="23" fillId="0" borderId="7" xfId="0" applyNumberFormat="1" applyFont="1" applyBorder="1" applyAlignment="1">
      <alignment horizontal="right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right" vertical="center" wrapText="1"/>
    </xf>
    <xf numFmtId="176" fontId="23" fillId="0" borderId="14" xfId="0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vertical="center"/>
    </xf>
    <xf numFmtId="0" fontId="23" fillId="0" borderId="7" xfId="0" applyFont="1" applyBorder="1" applyAlignment="1">
      <alignment vertical="center"/>
    </xf>
    <xf numFmtId="3" fontId="23" fillId="0" borderId="1" xfId="0" applyNumberFormat="1" applyFont="1" applyBorder="1" applyAlignment="1">
      <alignment horizontal="right" vertical="center" wrapText="1"/>
    </xf>
    <xf numFmtId="182" fontId="23" fillId="0" borderId="1" xfId="2" applyNumberFormat="1" applyFont="1" applyBorder="1" applyAlignment="1">
      <alignment horizontal="right" vertical="center" wrapText="1"/>
    </xf>
    <xf numFmtId="182" fontId="23" fillId="0" borderId="7" xfId="2" applyNumberFormat="1" applyFont="1" applyBorder="1" applyAlignment="1">
      <alignment horizontal="right" vertical="center"/>
    </xf>
    <xf numFmtId="176" fontId="23" fillId="0" borderId="1" xfId="2" applyNumberFormat="1" applyFont="1" applyBorder="1" applyAlignment="1">
      <alignment vertical="center" wrapText="1"/>
    </xf>
    <xf numFmtId="176" fontId="23" fillId="0" borderId="7" xfId="2" applyNumberFormat="1" applyFont="1" applyBorder="1" applyAlignment="1">
      <alignment vertical="center" wrapText="1"/>
    </xf>
    <xf numFmtId="41" fontId="23" fillId="0" borderId="1" xfId="2" applyFont="1" applyBorder="1" applyAlignment="1">
      <alignment horizontal="right" vertical="center" wrapText="1"/>
    </xf>
    <xf numFmtId="41" fontId="23" fillId="0" borderId="7" xfId="2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9" fontId="23" fillId="0" borderId="20" xfId="0" applyNumberFormat="1" applyFont="1" applyBorder="1" applyAlignment="1">
      <alignment horizontal="right" vertical="center" wrapText="1"/>
    </xf>
    <xf numFmtId="9" fontId="23" fillId="0" borderId="21" xfId="0" applyNumberFormat="1" applyFont="1" applyBorder="1" applyAlignment="1">
      <alignment horizontal="right" vertical="center" wrapText="1"/>
    </xf>
    <xf numFmtId="176" fontId="23" fillId="0" borderId="14" xfId="2" applyNumberFormat="1" applyFont="1" applyBorder="1" applyAlignment="1">
      <alignment horizontal="right" vertical="center" wrapText="1"/>
    </xf>
    <xf numFmtId="10" fontId="23" fillId="0" borderId="22" xfId="0" applyNumberFormat="1" applyFont="1" applyBorder="1" applyAlignment="1">
      <alignment horizontal="right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 wrapText="1"/>
    </xf>
    <xf numFmtId="1" fontId="23" fillId="0" borderId="14" xfId="0" applyNumberFormat="1" applyFont="1" applyBorder="1" applyAlignment="1">
      <alignment horizontal="right" vertical="center" wrapText="1"/>
    </xf>
    <xf numFmtId="41" fontId="23" fillId="0" borderId="14" xfId="2" applyFont="1" applyBorder="1" applyAlignment="1">
      <alignment horizontal="right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176" fontId="23" fillId="0" borderId="1" xfId="2" applyNumberFormat="1" applyFont="1" applyBorder="1" applyAlignment="1">
      <alignment vertical="center"/>
    </xf>
    <xf numFmtId="176" fontId="23" fillId="0" borderId="7" xfId="2" applyNumberFormat="1" applyFont="1" applyBorder="1" applyAlignment="1">
      <alignment vertical="center"/>
    </xf>
    <xf numFmtId="0" fontId="21" fillId="0" borderId="11" xfId="0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41" fontId="23" fillId="0" borderId="7" xfId="2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177" fontId="10" fillId="2" borderId="5" xfId="0" applyNumberFormat="1" applyFont="1" applyFill="1" applyBorder="1" applyAlignment="1">
      <alignment horizontal="right" vertical="center"/>
    </xf>
    <xf numFmtId="177" fontId="10" fillId="2" borderId="6" xfId="0" applyNumberFormat="1" applyFont="1" applyFill="1" applyBorder="1" applyAlignment="1">
      <alignment horizontal="right" vertical="center"/>
    </xf>
    <xf numFmtId="177" fontId="10" fillId="2" borderId="9" xfId="0" applyNumberFormat="1" applyFont="1" applyFill="1" applyBorder="1" applyAlignment="1">
      <alignment horizontal="right" vertical="center"/>
    </xf>
    <xf numFmtId="177" fontId="10" fillId="2" borderId="10" xfId="0" applyNumberFormat="1" applyFont="1" applyFill="1" applyBorder="1" applyAlignment="1">
      <alignment horizontal="right" vertical="center"/>
    </xf>
    <xf numFmtId="0" fontId="7" fillId="2" borderId="11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center" vertical="center" wrapText="1"/>
    </xf>
    <xf numFmtId="41" fontId="10" fillId="2" borderId="7" xfId="0" applyNumberFormat="1" applyFont="1" applyFill="1" applyBorder="1" applyAlignment="1">
      <alignment horizontal="center" vertical="center" wrapText="1"/>
    </xf>
    <xf numFmtId="41" fontId="10" fillId="2" borderId="11" xfId="0" applyNumberFormat="1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9" fontId="10" fillId="2" borderId="11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41" fontId="7" fillId="2" borderId="1" xfId="1" applyNumberFormat="1" applyFont="1" applyFill="1" applyBorder="1" applyAlignment="1">
      <alignment horizontal="center" vertical="center" wrapText="1"/>
    </xf>
    <xf numFmtId="41" fontId="7" fillId="2" borderId="14" xfId="1" applyNumberFormat="1" applyFont="1" applyFill="1" applyBorder="1" applyAlignment="1">
      <alignment horizontal="center" vertical="center" wrapText="1"/>
    </xf>
    <xf numFmtId="41" fontId="7" fillId="2" borderId="7" xfId="1" applyNumberFormat="1" applyFont="1" applyFill="1" applyBorder="1" applyAlignment="1">
      <alignment horizontal="center" vertical="center" wrapText="1"/>
    </xf>
    <xf numFmtId="41" fontId="7" fillId="2" borderId="9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/>
    </xf>
    <xf numFmtId="41" fontId="7" fillId="2" borderId="7" xfId="0" applyNumberFormat="1" applyFont="1" applyFill="1" applyBorder="1" applyAlignment="1">
      <alignment horizontal="center" vertical="center"/>
    </xf>
    <xf numFmtId="9" fontId="7" fillId="2" borderId="1" xfId="0" applyNumberFormat="1" applyFont="1" applyFill="1" applyBorder="1" applyAlignment="1">
      <alignment horizontal="center" vertical="center"/>
    </xf>
    <xf numFmtId="9" fontId="7" fillId="2" borderId="7" xfId="0" applyNumberFormat="1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center" vertical="center"/>
    </xf>
    <xf numFmtId="9" fontId="7" fillId="2" borderId="14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7" xfId="1" applyNumberFormat="1" applyFont="1" applyFill="1" applyBorder="1" applyAlignment="1">
      <alignment horizontal="center" vertical="center"/>
    </xf>
    <xf numFmtId="9" fontId="7" fillId="2" borderId="1" xfId="1" applyNumberFormat="1" applyFont="1" applyFill="1" applyBorder="1" applyAlignment="1">
      <alignment horizontal="center" vertical="center"/>
    </xf>
    <xf numFmtId="9" fontId="7" fillId="2" borderId="7" xfId="1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top" wrapText="1"/>
    </xf>
    <xf numFmtId="0" fontId="7" fillId="2" borderId="14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176" fontId="7" fillId="2" borderId="14" xfId="1" applyNumberFormat="1" applyFont="1" applyFill="1" applyBorder="1" applyAlignment="1">
      <alignment horizontal="center" vertical="center"/>
    </xf>
    <xf numFmtId="9" fontId="7" fillId="2" borderId="14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 wrapText="1"/>
    </xf>
    <xf numFmtId="176" fontId="7" fillId="2" borderId="14" xfId="1" applyNumberFormat="1" applyFont="1" applyFill="1" applyBorder="1" applyAlignment="1">
      <alignment horizontal="center" vertical="center" wrapText="1"/>
    </xf>
    <xf numFmtId="176" fontId="7" fillId="2" borderId="7" xfId="1" applyNumberFormat="1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 wrapText="1"/>
    </xf>
    <xf numFmtId="9" fontId="7" fillId="2" borderId="14" xfId="0" applyNumberFormat="1" applyFont="1" applyFill="1" applyBorder="1" applyAlignment="1">
      <alignment horizontal="center" vertical="center" wrapText="1"/>
    </xf>
    <xf numFmtId="9" fontId="7" fillId="2" borderId="7" xfId="0" applyNumberFormat="1" applyFont="1" applyFill="1" applyBorder="1" applyAlignment="1">
      <alignment horizontal="center" vertical="center" wrapText="1"/>
    </xf>
    <xf numFmtId="41" fontId="7" fillId="2" borderId="0" xfId="1" applyFont="1" applyFill="1" applyBorder="1" applyAlignment="1">
      <alignment horizontal="center" vertical="center"/>
    </xf>
    <xf numFmtId="177" fontId="7" fillId="2" borderId="0" xfId="1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76" fontId="7" fillId="2" borderId="5" xfId="1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top" wrapText="1"/>
    </xf>
    <xf numFmtId="0" fontId="7" fillId="2" borderId="14" xfId="0" applyFont="1" applyFill="1" applyBorder="1" applyAlignment="1">
      <alignment vertical="top" wrapText="1"/>
    </xf>
    <xf numFmtId="0" fontId="7" fillId="2" borderId="7" xfId="0" applyFont="1" applyFill="1" applyBorder="1" applyAlignment="1">
      <alignment vertical="top" wrapText="1"/>
    </xf>
    <xf numFmtId="176" fontId="7" fillId="2" borderId="0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82" fontId="7" fillId="2" borderId="1" xfId="1" applyNumberFormat="1" applyFont="1" applyFill="1" applyBorder="1" applyAlignment="1">
      <alignment horizontal="center" vertical="center" wrapText="1"/>
    </xf>
    <xf numFmtId="182" fontId="7" fillId="2" borderId="14" xfId="1" applyNumberFormat="1" applyFont="1" applyFill="1" applyBorder="1" applyAlignment="1">
      <alignment horizontal="center" vertical="center" wrapText="1"/>
    </xf>
    <xf numFmtId="182" fontId="7" fillId="2" borderId="7" xfId="1" applyNumberFormat="1" applyFont="1" applyFill="1" applyBorder="1" applyAlignment="1">
      <alignment horizontal="center" vertical="center" wrapText="1"/>
    </xf>
    <xf numFmtId="41" fontId="12" fillId="0" borderId="12" xfId="1" applyFont="1" applyBorder="1" applyAlignment="1">
      <alignment horizontal="center" vertical="top" wrapText="1"/>
    </xf>
    <xf numFmtId="41" fontId="12" fillId="0" borderId="0" xfId="1" applyFont="1" applyBorder="1" applyAlignment="1">
      <alignment horizontal="center" vertical="top" wrapText="1"/>
    </xf>
    <xf numFmtId="41" fontId="7" fillId="2" borderId="14" xfId="1" applyFont="1" applyFill="1" applyBorder="1" applyAlignment="1">
      <alignment horizontal="center" vertical="center" wrapText="1"/>
    </xf>
    <xf numFmtId="41" fontId="7" fillId="2" borderId="7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/>
    </xf>
    <xf numFmtId="41" fontId="7" fillId="2" borderId="7" xfId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14" xfId="0" applyNumberFormat="1" applyFont="1" applyFill="1" applyBorder="1" applyAlignment="1">
      <alignment horizontal="center" vertical="center"/>
    </xf>
    <xf numFmtId="176" fontId="7" fillId="2" borderId="7" xfId="0" applyNumberFormat="1" applyFont="1" applyFill="1" applyBorder="1" applyAlignment="1">
      <alignment horizontal="center" vertical="center"/>
    </xf>
    <xf numFmtId="9" fontId="7" fillId="2" borderId="11" xfId="8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 wrapText="1"/>
    </xf>
    <xf numFmtId="9" fontId="7" fillId="2" borderId="0" xfId="3" quotePrefix="1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horizontal="center" vertical="center"/>
    </xf>
    <xf numFmtId="41" fontId="7" fillId="2" borderId="11" xfId="1" applyNumberFormat="1" applyFont="1" applyFill="1" applyBorder="1" applyAlignment="1">
      <alignment horizontal="center" vertical="center" wrapText="1"/>
    </xf>
    <xf numFmtId="176" fontId="7" fillId="2" borderId="11" xfId="0" applyNumberFormat="1" applyFont="1" applyFill="1" applyBorder="1" applyAlignment="1">
      <alignment horizontal="center" vertical="center" wrapText="1"/>
    </xf>
    <xf numFmtId="0" fontId="7" fillId="2" borderId="0" xfId="3" applyFont="1" applyFill="1" applyBorder="1" applyAlignment="1">
      <alignment horizontal="center" vertical="center"/>
    </xf>
    <xf numFmtId="9" fontId="7" fillId="2" borderId="11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41" fontId="10" fillId="2" borderId="6" xfId="1" applyFont="1" applyFill="1" applyBorder="1" applyAlignment="1">
      <alignment horizontal="center" vertical="center"/>
    </xf>
    <xf numFmtId="41" fontId="10" fillId="2" borderId="10" xfId="1" applyFont="1" applyFill="1" applyBorder="1" applyAlignment="1">
      <alignment horizontal="center" vertical="center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7" xfId="0" applyNumberFormat="1" applyFont="1" applyFill="1" applyBorder="1" applyAlignment="1">
      <alignment horizontal="center" vertical="center" wrapText="1"/>
    </xf>
    <xf numFmtId="49" fontId="7" fillId="2" borderId="12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1" fontId="7" fillId="2" borderId="14" xfId="0" applyNumberFormat="1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/>
    </xf>
    <xf numFmtId="41" fontId="7" fillId="2" borderId="1" xfId="0" applyNumberFormat="1" applyFont="1" applyFill="1" applyBorder="1" applyAlignment="1">
      <alignment horizontal="center" vertical="center" wrapText="1"/>
    </xf>
    <xf numFmtId="9" fontId="7" fillId="2" borderId="4" xfId="0" applyNumberFormat="1" applyFont="1" applyFill="1" applyBorder="1" applyAlignment="1">
      <alignment horizontal="center" vertical="center" wrapText="1"/>
    </xf>
    <xf numFmtId="9" fontId="4" fillId="2" borderId="8" xfId="0" applyNumberFormat="1" applyFont="1" applyFill="1" applyBorder="1" applyAlignment="1">
      <alignment horizontal="center"/>
    </xf>
    <xf numFmtId="49" fontId="7" fillId="2" borderId="11" xfId="0" applyNumberFormat="1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right" vertical="center" wrapText="1"/>
    </xf>
    <xf numFmtId="9" fontId="7" fillId="2" borderId="8" xfId="0" applyNumberFormat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4" fillId="2" borderId="14" xfId="0" applyFont="1" applyFill="1" applyBorder="1" applyAlignment="1">
      <alignment horizontal="center" vertical="center"/>
    </xf>
    <xf numFmtId="9" fontId="7" fillId="2" borderId="12" xfId="0" applyNumberFormat="1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vertical="center"/>
    </xf>
    <xf numFmtId="41" fontId="10" fillId="2" borderId="13" xfId="1" applyFont="1" applyFill="1" applyBorder="1" applyAlignment="1">
      <alignment horizontal="center" vertical="center"/>
    </xf>
    <xf numFmtId="41" fontId="7" fillId="2" borderId="7" xfId="0" applyNumberFormat="1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center" vertical="center"/>
    </xf>
    <xf numFmtId="9" fontId="7" fillId="2" borderId="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41" fontId="7" fillId="2" borderId="5" xfId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</cellXfs>
  <cellStyles count="9">
    <cellStyle name="백분율" xfId="8" builtinId="5"/>
    <cellStyle name="쉼표 [0]" xfId="1" builtinId="6"/>
    <cellStyle name="쉼표 [0] 2" xfId="2"/>
    <cellStyle name="쉼표 [0] 2 2" xfId="4"/>
    <cellStyle name="쉼표 [0] 3" xfId="5"/>
    <cellStyle name="표준" xfId="0" builtinId="0"/>
    <cellStyle name="표준 2" xfId="3"/>
    <cellStyle name="표준 2 2" xfId="6"/>
    <cellStyle name="표준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zoomScale="115" zoomScaleNormal="115" workbookViewId="0">
      <selection activeCell="D27" sqref="D27"/>
    </sheetView>
  </sheetViews>
  <sheetFormatPr defaultRowHeight="16.5"/>
  <cols>
    <col min="5" max="5" width="9.5" bestFit="1" customWidth="1"/>
    <col min="6" max="6" width="9.375" bestFit="1" customWidth="1"/>
    <col min="7" max="7" width="9.125" bestFit="1" customWidth="1"/>
    <col min="12" max="12" width="9.5" bestFit="1" customWidth="1"/>
    <col min="13" max="13" width="9.125" bestFit="1" customWidth="1"/>
    <col min="14" max="14" width="9.125" style="61" bestFit="1" customWidth="1"/>
  </cols>
  <sheetData>
    <row r="1" spans="1:14">
      <c r="A1" s="341" t="s">
        <v>296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</row>
    <row r="2" spans="1:14">
      <c r="A2" s="22" t="s">
        <v>26</v>
      </c>
      <c r="B2" s="23"/>
      <c r="C2" s="24"/>
      <c r="D2" s="25"/>
      <c r="E2" s="25"/>
      <c r="F2" s="25"/>
      <c r="G2" s="25"/>
      <c r="H2" s="23"/>
      <c r="I2" s="23"/>
      <c r="J2" s="23"/>
      <c r="K2" s="23"/>
      <c r="L2" s="23"/>
      <c r="M2" s="26"/>
      <c r="N2" s="27" t="s">
        <v>27</v>
      </c>
    </row>
    <row r="3" spans="1:14" s="28" customFormat="1" ht="17.25" customHeight="1">
      <c r="A3" s="342" t="s">
        <v>28</v>
      </c>
      <c r="B3" s="343"/>
      <c r="C3" s="343"/>
      <c r="D3" s="343"/>
      <c r="E3" s="343"/>
      <c r="F3" s="343"/>
      <c r="G3" s="343"/>
      <c r="H3" s="344" t="s">
        <v>29</v>
      </c>
      <c r="I3" s="343"/>
      <c r="J3" s="343"/>
      <c r="K3" s="343"/>
      <c r="L3" s="343"/>
      <c r="M3" s="343"/>
      <c r="N3" s="345"/>
    </row>
    <row r="4" spans="1:14" s="28" customFormat="1" ht="15" customHeight="1">
      <c r="A4" s="346" t="s">
        <v>30</v>
      </c>
      <c r="B4" s="346" t="s">
        <v>31</v>
      </c>
      <c r="C4" s="346" t="s">
        <v>32</v>
      </c>
      <c r="D4" s="348" t="s">
        <v>297</v>
      </c>
      <c r="E4" s="348" t="s">
        <v>298</v>
      </c>
      <c r="F4" s="349" t="s">
        <v>33</v>
      </c>
      <c r="G4" s="343"/>
      <c r="H4" s="350" t="s">
        <v>30</v>
      </c>
      <c r="I4" s="346" t="s">
        <v>31</v>
      </c>
      <c r="J4" s="346" t="s">
        <v>32</v>
      </c>
      <c r="K4" s="348" t="s">
        <v>297</v>
      </c>
      <c r="L4" s="348" t="s">
        <v>298</v>
      </c>
      <c r="M4" s="349" t="s">
        <v>33</v>
      </c>
      <c r="N4" s="345"/>
    </row>
    <row r="5" spans="1:14" s="28" customFormat="1" ht="15" customHeight="1">
      <c r="A5" s="347"/>
      <c r="B5" s="347"/>
      <c r="C5" s="347"/>
      <c r="D5" s="347"/>
      <c r="E5" s="347"/>
      <c r="F5" s="29" t="s">
        <v>34</v>
      </c>
      <c r="G5" s="29" t="s">
        <v>35</v>
      </c>
      <c r="H5" s="351"/>
      <c r="I5" s="347"/>
      <c r="J5" s="347"/>
      <c r="K5" s="347"/>
      <c r="L5" s="347"/>
      <c r="M5" s="29" t="s">
        <v>34</v>
      </c>
      <c r="N5" s="30" t="s">
        <v>35</v>
      </c>
    </row>
    <row r="6" spans="1:14" s="28" customFormat="1" ht="15" customHeight="1">
      <c r="A6" s="359" t="s">
        <v>36</v>
      </c>
      <c r="B6" s="359"/>
      <c r="C6" s="368" t="s">
        <v>37</v>
      </c>
      <c r="D6" s="364">
        <f>SUM(D8:D19)</f>
        <v>731522</v>
      </c>
      <c r="E6" s="364">
        <f>SUM(E8:E19)</f>
        <v>740499</v>
      </c>
      <c r="F6" s="364">
        <f>SUM(F8:F19)</f>
        <v>8977</v>
      </c>
      <c r="G6" s="362">
        <f>F6/D6</f>
        <v>1.2271674672805466E-2</v>
      </c>
      <c r="H6" s="366" t="s">
        <v>36</v>
      </c>
      <c r="I6" s="359"/>
      <c r="J6" s="368" t="s">
        <v>37</v>
      </c>
      <c r="K6" s="364">
        <f>K8+K38+K44+K52</f>
        <v>731522</v>
      </c>
      <c r="L6" s="364">
        <f>L8+L38+L44+L52</f>
        <v>740499</v>
      </c>
      <c r="M6" s="352">
        <f>L6-K6</f>
        <v>8977</v>
      </c>
      <c r="N6" s="354">
        <f t="shared" ref="N6" si="0">M6/K6</f>
        <v>1.2271674672805466E-2</v>
      </c>
    </row>
    <row r="7" spans="1:14" s="28" customFormat="1" ht="15" customHeight="1">
      <c r="A7" s="357"/>
      <c r="B7" s="357"/>
      <c r="C7" s="369"/>
      <c r="D7" s="365"/>
      <c r="E7" s="365"/>
      <c r="F7" s="365"/>
      <c r="G7" s="363"/>
      <c r="H7" s="367"/>
      <c r="I7" s="357"/>
      <c r="J7" s="369"/>
      <c r="K7" s="370"/>
      <c r="L7" s="370"/>
      <c r="M7" s="353"/>
      <c r="N7" s="355"/>
    </row>
    <row r="8" spans="1:14" s="28" customFormat="1" ht="15" customHeight="1">
      <c r="A8" s="356" t="s">
        <v>38</v>
      </c>
      <c r="B8" s="356" t="s">
        <v>38</v>
      </c>
      <c r="C8" s="359"/>
      <c r="D8" s="360"/>
      <c r="E8" s="360"/>
      <c r="F8" s="352"/>
      <c r="G8" s="362"/>
      <c r="H8" s="371" t="s">
        <v>39</v>
      </c>
      <c r="I8" s="356"/>
      <c r="J8" s="375"/>
      <c r="K8" s="377">
        <f>K10+K22</f>
        <v>500008</v>
      </c>
      <c r="L8" s="377">
        <f>L10+L22</f>
        <v>541242</v>
      </c>
      <c r="M8" s="352">
        <f t="shared" ref="M8" si="1">L8-K8</f>
        <v>41234</v>
      </c>
      <c r="N8" s="354">
        <f t="shared" ref="N8" si="2">M8/K8</f>
        <v>8.2466680533111472E-2</v>
      </c>
    </row>
    <row r="9" spans="1:14" s="28" customFormat="1" ht="15" customHeight="1">
      <c r="A9" s="357"/>
      <c r="B9" s="358"/>
      <c r="C9" s="357"/>
      <c r="D9" s="361"/>
      <c r="E9" s="361"/>
      <c r="F9" s="353"/>
      <c r="G9" s="363"/>
      <c r="H9" s="367"/>
      <c r="I9" s="358"/>
      <c r="J9" s="376"/>
      <c r="K9" s="365"/>
      <c r="L9" s="365"/>
      <c r="M9" s="353"/>
      <c r="N9" s="355"/>
    </row>
    <row r="10" spans="1:14" s="28" customFormat="1" ht="15" customHeight="1">
      <c r="A10" s="31"/>
      <c r="B10" s="31"/>
      <c r="C10" s="356" t="s">
        <v>38</v>
      </c>
      <c r="D10" s="382">
        <v>567479</v>
      </c>
      <c r="E10" s="382">
        <v>579174</v>
      </c>
      <c r="F10" s="352">
        <f>E10-D10</f>
        <v>11695</v>
      </c>
      <c r="G10" s="362">
        <f>F10/D10</f>
        <v>2.060869212781442E-2</v>
      </c>
      <c r="H10" s="32"/>
      <c r="I10" s="359" t="s">
        <v>40</v>
      </c>
      <c r="J10" s="359"/>
      <c r="K10" s="373">
        <f>SUM(K12:K21)</f>
        <v>496648</v>
      </c>
      <c r="L10" s="373">
        <f>SUM(L12:L21)</f>
        <v>537642</v>
      </c>
      <c r="M10" s="352">
        <f t="shared" ref="M10" si="3">L10-K10</f>
        <v>40994</v>
      </c>
      <c r="N10" s="354">
        <f t="shared" ref="N10" si="4">M10/K10</f>
        <v>8.2541357259064765E-2</v>
      </c>
    </row>
    <row r="11" spans="1:14" s="28" customFormat="1" ht="15" customHeight="1">
      <c r="A11" s="33"/>
      <c r="B11" s="33"/>
      <c r="C11" s="358"/>
      <c r="D11" s="383"/>
      <c r="E11" s="383"/>
      <c r="F11" s="353"/>
      <c r="G11" s="363"/>
      <c r="H11" s="34"/>
      <c r="I11" s="372"/>
      <c r="J11" s="372"/>
      <c r="K11" s="374"/>
      <c r="L11" s="374"/>
      <c r="M11" s="353"/>
      <c r="N11" s="355"/>
    </row>
    <row r="12" spans="1:14" s="28" customFormat="1" ht="15" customHeight="1">
      <c r="A12" s="356" t="s">
        <v>41</v>
      </c>
      <c r="B12" s="356" t="s">
        <v>41</v>
      </c>
      <c r="C12" s="356"/>
      <c r="D12" s="360"/>
      <c r="E12" s="360"/>
      <c r="F12" s="378"/>
      <c r="G12" s="362"/>
      <c r="H12" s="34"/>
      <c r="I12" s="35"/>
      <c r="J12" s="359" t="s">
        <v>42</v>
      </c>
      <c r="K12" s="364">
        <v>325349</v>
      </c>
      <c r="L12" s="380">
        <v>352731</v>
      </c>
      <c r="M12" s="352">
        <f t="shared" ref="M12" si="5">L12-K12</f>
        <v>27382</v>
      </c>
      <c r="N12" s="354">
        <f>M12/K12</f>
        <v>8.416193072669656E-2</v>
      </c>
    </row>
    <row r="13" spans="1:14" s="28" customFormat="1" ht="15" customHeight="1">
      <c r="A13" s="358"/>
      <c r="B13" s="358"/>
      <c r="C13" s="358"/>
      <c r="D13" s="365"/>
      <c r="E13" s="365"/>
      <c r="F13" s="379"/>
      <c r="G13" s="363"/>
      <c r="H13" s="34"/>
      <c r="I13" s="36"/>
      <c r="J13" s="372"/>
      <c r="K13" s="370"/>
      <c r="L13" s="381"/>
      <c r="M13" s="353"/>
      <c r="N13" s="355"/>
    </row>
    <row r="14" spans="1:14" s="28" customFormat="1" ht="15" customHeight="1">
      <c r="A14" s="37"/>
      <c r="B14" s="37"/>
      <c r="C14" s="356" t="s">
        <v>41</v>
      </c>
      <c r="D14" s="382">
        <v>158400</v>
      </c>
      <c r="E14" s="382">
        <v>141257</v>
      </c>
      <c r="F14" s="378">
        <f t="shared" ref="F14" si="6">E14-D14</f>
        <v>-17143</v>
      </c>
      <c r="G14" s="385">
        <f>F14/D14</f>
        <v>-0.1082260101010101</v>
      </c>
      <c r="H14" s="34"/>
      <c r="I14" s="36"/>
      <c r="J14" s="359" t="s">
        <v>44</v>
      </c>
      <c r="K14" s="364">
        <v>84745</v>
      </c>
      <c r="L14" s="380">
        <v>98804</v>
      </c>
      <c r="M14" s="352">
        <f t="shared" ref="M14" si="7">L14-K14</f>
        <v>14059</v>
      </c>
      <c r="N14" s="354">
        <f t="shared" ref="N14" si="8">M14/K14</f>
        <v>0.16589769307923771</v>
      </c>
    </row>
    <row r="15" spans="1:14" s="28" customFormat="1" ht="15" customHeight="1">
      <c r="A15" s="38"/>
      <c r="B15" s="38"/>
      <c r="C15" s="358"/>
      <c r="D15" s="383"/>
      <c r="E15" s="383"/>
      <c r="F15" s="379"/>
      <c r="G15" s="386"/>
      <c r="H15" s="34"/>
      <c r="I15" s="36"/>
      <c r="J15" s="357"/>
      <c r="K15" s="370"/>
      <c r="L15" s="381"/>
      <c r="M15" s="353"/>
      <c r="N15" s="355"/>
    </row>
    <row r="16" spans="1:14" s="28" customFormat="1" ht="15" customHeight="1">
      <c r="A16" s="384" t="s">
        <v>62</v>
      </c>
      <c r="B16" s="384" t="s">
        <v>62</v>
      </c>
      <c r="C16" s="384" t="s">
        <v>62</v>
      </c>
      <c r="D16" s="382">
        <v>5501</v>
      </c>
      <c r="E16" s="382">
        <v>19945</v>
      </c>
      <c r="F16" s="378">
        <f t="shared" ref="F16" si="9">E16-D16</f>
        <v>14444</v>
      </c>
      <c r="G16" s="385">
        <v>1</v>
      </c>
      <c r="H16" s="34"/>
      <c r="I16" s="36"/>
      <c r="J16" s="356" t="s">
        <v>45</v>
      </c>
      <c r="K16" s="364">
        <v>44092</v>
      </c>
      <c r="L16" s="380">
        <v>37628</v>
      </c>
      <c r="M16" s="352">
        <f t="shared" ref="M16" si="10">L16-K16</f>
        <v>-6464</v>
      </c>
      <c r="N16" s="354">
        <f t="shared" ref="N16" si="11">M16/K16</f>
        <v>-0.14660255828721763</v>
      </c>
    </row>
    <row r="17" spans="1:14" s="28" customFormat="1" ht="15" customHeight="1">
      <c r="A17" s="358"/>
      <c r="B17" s="358"/>
      <c r="C17" s="358"/>
      <c r="D17" s="383"/>
      <c r="E17" s="383"/>
      <c r="F17" s="379"/>
      <c r="G17" s="386"/>
      <c r="H17" s="34"/>
      <c r="I17" s="36"/>
      <c r="J17" s="358"/>
      <c r="K17" s="370"/>
      <c r="L17" s="381"/>
      <c r="M17" s="353"/>
      <c r="N17" s="355"/>
    </row>
    <row r="18" spans="1:14" s="28" customFormat="1" ht="15" customHeight="1">
      <c r="A18" s="356" t="s">
        <v>43</v>
      </c>
      <c r="B18" s="356" t="s">
        <v>43</v>
      </c>
      <c r="C18" s="356" t="s">
        <v>43</v>
      </c>
      <c r="D18" s="382">
        <v>142</v>
      </c>
      <c r="E18" s="382">
        <v>123</v>
      </c>
      <c r="F18" s="378">
        <f t="shared" ref="F18" si="12">E18-D18</f>
        <v>-19</v>
      </c>
      <c r="G18" s="385">
        <f t="shared" ref="G18" si="13">F18/D18</f>
        <v>-0.13380281690140844</v>
      </c>
      <c r="H18" s="389"/>
      <c r="I18" s="372"/>
      <c r="J18" s="356" t="s">
        <v>46</v>
      </c>
      <c r="K18" s="364">
        <v>39255</v>
      </c>
      <c r="L18" s="380">
        <v>45099</v>
      </c>
      <c r="M18" s="352">
        <f t="shared" ref="M18" si="14">L18-K18</f>
        <v>5844</v>
      </c>
      <c r="N18" s="354">
        <f t="shared" ref="N18" si="15">M18/K18</f>
        <v>0.14887275506304928</v>
      </c>
    </row>
    <row r="19" spans="1:14" s="28" customFormat="1" ht="15" customHeight="1">
      <c r="A19" s="358"/>
      <c r="B19" s="358"/>
      <c r="C19" s="358"/>
      <c r="D19" s="383"/>
      <c r="E19" s="383"/>
      <c r="F19" s="379"/>
      <c r="G19" s="386"/>
      <c r="H19" s="389"/>
      <c r="I19" s="372"/>
      <c r="J19" s="358"/>
      <c r="K19" s="370"/>
      <c r="L19" s="381"/>
      <c r="M19" s="353"/>
      <c r="N19" s="355"/>
    </row>
    <row r="20" spans="1:14" s="28" customFormat="1" ht="15" customHeight="1">
      <c r="A20" s="33"/>
      <c r="B20" s="33"/>
      <c r="C20" s="33"/>
      <c r="D20" s="392"/>
      <c r="E20" s="392"/>
      <c r="F20" s="387"/>
      <c r="G20" s="388"/>
      <c r="H20" s="39"/>
      <c r="I20" s="33"/>
      <c r="J20" s="393" t="s">
        <v>47</v>
      </c>
      <c r="K20" s="364">
        <v>3207</v>
      </c>
      <c r="L20" s="380">
        <v>3380</v>
      </c>
      <c r="M20" s="352">
        <f t="shared" ref="M20" si="16">L20-K20</f>
        <v>173</v>
      </c>
      <c r="N20" s="354">
        <f t="shared" ref="N20:N30" si="17">M20/K20</f>
        <v>5.394449641409417E-2</v>
      </c>
    </row>
    <row r="21" spans="1:14" s="28" customFormat="1" ht="15" customHeight="1">
      <c r="A21" s="33"/>
      <c r="B21" s="33"/>
      <c r="C21" s="33"/>
      <c r="D21" s="392"/>
      <c r="E21" s="392"/>
      <c r="F21" s="387"/>
      <c r="G21" s="388"/>
      <c r="H21" s="39"/>
      <c r="I21" s="33"/>
      <c r="J21" s="394"/>
      <c r="K21" s="370"/>
      <c r="L21" s="381"/>
      <c r="M21" s="353"/>
      <c r="N21" s="355"/>
    </row>
    <row r="22" spans="1:14" s="28" customFormat="1" ht="15" customHeight="1">
      <c r="A22" s="390"/>
      <c r="B22" s="390"/>
      <c r="C22" s="390"/>
      <c r="D22" s="391"/>
      <c r="E22" s="392"/>
      <c r="F22" s="387"/>
      <c r="G22" s="388"/>
      <c r="H22" s="389"/>
      <c r="I22" s="359" t="s">
        <v>48</v>
      </c>
      <c r="J22" s="359"/>
      <c r="K22" s="395">
        <f>SUM(K24:K31)+K36</f>
        <v>3360</v>
      </c>
      <c r="L22" s="395">
        <f>SUM(L24:L31)+L36</f>
        <v>3600</v>
      </c>
      <c r="M22" s="352">
        <f t="shared" ref="M22" si="18">L22-K22</f>
        <v>240</v>
      </c>
      <c r="N22" s="354">
        <f t="shared" si="17"/>
        <v>7.1428571428571425E-2</v>
      </c>
    </row>
    <row r="23" spans="1:14" s="28" customFormat="1" ht="15" customHeight="1">
      <c r="A23" s="390"/>
      <c r="B23" s="390"/>
      <c r="C23" s="390"/>
      <c r="D23" s="391"/>
      <c r="E23" s="392"/>
      <c r="F23" s="387"/>
      <c r="G23" s="388"/>
      <c r="H23" s="389"/>
      <c r="I23" s="357"/>
      <c r="J23" s="372"/>
      <c r="K23" s="396"/>
      <c r="L23" s="396"/>
      <c r="M23" s="353"/>
      <c r="N23" s="355"/>
    </row>
    <row r="24" spans="1:14" s="28" customFormat="1" ht="15" customHeight="1">
      <c r="A24" s="40"/>
      <c r="B24" s="41"/>
      <c r="C24" s="41"/>
      <c r="D24" s="41"/>
      <c r="E24" s="41"/>
      <c r="F24" s="41"/>
      <c r="G24" s="42"/>
      <c r="H24" s="43"/>
      <c r="I24" s="62"/>
      <c r="J24" s="359" t="s">
        <v>49</v>
      </c>
      <c r="K24" s="364">
        <v>360</v>
      </c>
      <c r="L24" s="382">
        <v>120</v>
      </c>
      <c r="M24" s="352">
        <f t="shared" ref="M24" si="19">L24-K24</f>
        <v>-240</v>
      </c>
      <c r="N24" s="354">
        <f t="shared" si="17"/>
        <v>-0.66666666666666663</v>
      </c>
    </row>
    <row r="25" spans="1:14" s="28" customFormat="1" ht="15" customHeight="1">
      <c r="A25" s="40"/>
      <c r="B25" s="41"/>
      <c r="C25" s="41"/>
      <c r="D25" s="41"/>
      <c r="E25" s="41"/>
      <c r="F25" s="41"/>
      <c r="G25" s="42"/>
      <c r="H25" s="43"/>
      <c r="I25" s="63"/>
      <c r="J25" s="357"/>
      <c r="K25" s="370"/>
      <c r="L25" s="383"/>
      <c r="M25" s="353"/>
      <c r="N25" s="355"/>
    </row>
    <row r="26" spans="1:14" s="28" customFormat="1" ht="15" customHeight="1">
      <c r="A26" s="41"/>
      <c r="B26" s="41"/>
      <c r="C26" s="41"/>
      <c r="D26" s="41"/>
      <c r="E26" s="41"/>
      <c r="F26" s="41"/>
      <c r="G26" s="42"/>
      <c r="H26" s="43"/>
      <c r="I26" s="46"/>
      <c r="J26" s="356" t="s">
        <v>50</v>
      </c>
      <c r="K26" s="364">
        <v>1200</v>
      </c>
      <c r="L26" s="382">
        <v>2880</v>
      </c>
      <c r="M26" s="352">
        <f>L26-K26</f>
        <v>1680</v>
      </c>
      <c r="N26" s="354">
        <f t="shared" si="17"/>
        <v>1.4</v>
      </c>
    </row>
    <row r="27" spans="1:14" s="28" customFormat="1" ht="15" customHeight="1">
      <c r="A27" s="41"/>
      <c r="B27" s="41"/>
      <c r="C27" s="41"/>
      <c r="D27" s="41"/>
      <c r="E27" s="41"/>
      <c r="F27" s="41"/>
      <c r="G27" s="42"/>
      <c r="H27" s="43"/>
      <c r="I27" s="46"/>
      <c r="J27" s="357"/>
      <c r="K27" s="370"/>
      <c r="L27" s="383"/>
      <c r="M27" s="353"/>
      <c r="N27" s="355"/>
    </row>
    <row r="28" spans="1:14" s="28" customFormat="1" ht="16.5" customHeight="1">
      <c r="A28" s="41"/>
      <c r="B28" s="41"/>
      <c r="C28" s="41"/>
      <c r="D28" s="41"/>
      <c r="E28" s="41"/>
      <c r="F28" s="41"/>
      <c r="G28" s="42"/>
      <c r="H28" s="43"/>
      <c r="I28" s="46"/>
      <c r="J28" s="403" t="s">
        <v>19</v>
      </c>
      <c r="K28" s="364">
        <v>200</v>
      </c>
      <c r="L28" s="382">
        <v>600</v>
      </c>
      <c r="M28" s="352">
        <f>L28-K28</f>
        <v>400</v>
      </c>
      <c r="N28" s="354">
        <v>1</v>
      </c>
    </row>
    <row r="29" spans="1:14" s="28" customFormat="1" ht="16.5" customHeight="1">
      <c r="A29" s="41"/>
      <c r="B29" s="41"/>
      <c r="C29" s="41"/>
      <c r="D29" s="41"/>
      <c r="E29" s="41"/>
      <c r="F29" s="41"/>
      <c r="G29" s="42"/>
      <c r="H29" s="47"/>
      <c r="I29" s="46"/>
      <c r="J29" s="357"/>
      <c r="K29" s="370"/>
      <c r="L29" s="383"/>
      <c r="M29" s="353"/>
      <c r="N29" s="355"/>
    </row>
    <row r="30" spans="1:14" s="28" customFormat="1" ht="16.5" customHeight="1">
      <c r="A30" s="41"/>
      <c r="B30" s="41"/>
      <c r="C30" s="41"/>
      <c r="D30" s="41"/>
      <c r="E30" s="41"/>
      <c r="F30" s="41"/>
      <c r="G30" s="42"/>
      <c r="H30" s="47"/>
      <c r="I30" s="46"/>
      <c r="J30" s="359" t="s">
        <v>51</v>
      </c>
      <c r="K30" s="364">
        <v>400</v>
      </c>
      <c r="L30" s="382">
        <v>0</v>
      </c>
      <c r="M30" s="352">
        <f t="shared" ref="M30" si="20">L30-K30</f>
        <v>-400</v>
      </c>
      <c r="N30" s="354">
        <f t="shared" si="17"/>
        <v>-1</v>
      </c>
    </row>
    <row r="31" spans="1:14" s="28" customFormat="1" ht="16.5" customHeight="1">
      <c r="A31" s="48"/>
      <c r="B31" s="48"/>
      <c r="C31" s="48"/>
      <c r="D31" s="48"/>
      <c r="E31" s="48"/>
      <c r="F31" s="48"/>
      <c r="G31" s="49"/>
      <c r="H31" s="50"/>
      <c r="I31" s="51"/>
      <c r="J31" s="357"/>
      <c r="K31" s="370"/>
      <c r="L31" s="383"/>
      <c r="M31" s="353"/>
      <c r="N31" s="355"/>
    </row>
    <row r="32" spans="1:14" s="28" customFormat="1" ht="17.25" customHeight="1">
      <c r="A32" s="52" t="s">
        <v>52</v>
      </c>
      <c r="B32" s="53"/>
      <c r="C32" s="54"/>
      <c r="D32" s="55"/>
      <c r="E32" s="55"/>
      <c r="F32" s="55"/>
      <c r="G32" s="55"/>
      <c r="H32" s="53"/>
      <c r="I32" s="53"/>
      <c r="J32" s="53"/>
      <c r="K32" s="53"/>
      <c r="L32" s="53"/>
      <c r="M32" s="56"/>
      <c r="N32" s="57" t="s">
        <v>53</v>
      </c>
    </row>
    <row r="33" spans="1:14" s="28" customFormat="1" ht="17.25" customHeight="1">
      <c r="A33" s="397" t="s">
        <v>28</v>
      </c>
      <c r="B33" s="397"/>
      <c r="C33" s="397"/>
      <c r="D33" s="397"/>
      <c r="E33" s="397"/>
      <c r="F33" s="397"/>
      <c r="G33" s="398"/>
      <c r="H33" s="344" t="s">
        <v>29</v>
      </c>
      <c r="I33" s="343"/>
      <c r="J33" s="343"/>
      <c r="K33" s="343"/>
      <c r="L33" s="343"/>
      <c r="M33" s="343"/>
      <c r="N33" s="345"/>
    </row>
    <row r="34" spans="1:14" s="28" customFormat="1" ht="17.25" customHeight="1">
      <c r="A34" s="346" t="s">
        <v>30</v>
      </c>
      <c r="B34" s="346" t="s">
        <v>31</v>
      </c>
      <c r="C34" s="346" t="s">
        <v>32</v>
      </c>
      <c r="D34" s="348" t="s">
        <v>297</v>
      </c>
      <c r="E34" s="348" t="s">
        <v>298</v>
      </c>
      <c r="F34" s="349" t="s">
        <v>33</v>
      </c>
      <c r="G34" s="343"/>
      <c r="H34" s="350" t="s">
        <v>30</v>
      </c>
      <c r="I34" s="346" t="s">
        <v>31</v>
      </c>
      <c r="J34" s="346" t="s">
        <v>32</v>
      </c>
      <c r="K34" s="348" t="s">
        <v>297</v>
      </c>
      <c r="L34" s="348" t="s">
        <v>298</v>
      </c>
      <c r="M34" s="349" t="s">
        <v>33</v>
      </c>
      <c r="N34" s="345"/>
    </row>
    <row r="35" spans="1:14" s="28" customFormat="1" ht="17.25" customHeight="1">
      <c r="A35" s="347"/>
      <c r="B35" s="347"/>
      <c r="C35" s="347"/>
      <c r="D35" s="347"/>
      <c r="E35" s="347"/>
      <c r="F35" s="29" t="s">
        <v>34</v>
      </c>
      <c r="G35" s="29" t="s">
        <v>35</v>
      </c>
      <c r="H35" s="351"/>
      <c r="I35" s="347"/>
      <c r="J35" s="347"/>
      <c r="K35" s="347"/>
      <c r="L35" s="347"/>
      <c r="M35" s="29" t="s">
        <v>34</v>
      </c>
      <c r="N35" s="30" t="s">
        <v>35</v>
      </c>
    </row>
    <row r="36" spans="1:14" s="28" customFormat="1" ht="14.25" customHeight="1">
      <c r="A36" s="41"/>
      <c r="B36" s="41"/>
      <c r="C36" s="41"/>
      <c r="D36" s="41"/>
      <c r="E36" s="41"/>
      <c r="F36" s="41"/>
      <c r="G36" s="42"/>
      <c r="H36" s="47"/>
      <c r="I36" s="46"/>
      <c r="J36" s="402" t="s">
        <v>10</v>
      </c>
      <c r="K36" s="382">
        <v>1200</v>
      </c>
      <c r="L36" s="382">
        <v>0</v>
      </c>
      <c r="M36" s="352">
        <f t="shared" ref="M36" si="21">L36-K36</f>
        <v>-1200</v>
      </c>
      <c r="N36" s="354">
        <f t="shared" ref="N36:N50" si="22">M36/K36</f>
        <v>-1</v>
      </c>
    </row>
    <row r="37" spans="1:14" s="28" customFormat="1" ht="14.25" customHeight="1">
      <c r="A37" s="41"/>
      <c r="B37" s="41"/>
      <c r="C37" s="41"/>
      <c r="D37" s="41"/>
      <c r="E37" s="41"/>
      <c r="F37" s="41"/>
      <c r="G37" s="42"/>
      <c r="H37" s="47"/>
      <c r="I37" s="46"/>
      <c r="J37" s="357"/>
      <c r="K37" s="383"/>
      <c r="L37" s="383"/>
      <c r="M37" s="353"/>
      <c r="N37" s="355"/>
    </row>
    <row r="38" spans="1:14" s="28" customFormat="1" ht="14.25" customHeight="1">
      <c r="A38" s="41"/>
      <c r="B38" s="41"/>
      <c r="C38" s="41"/>
      <c r="D38" s="41"/>
      <c r="E38" s="41"/>
      <c r="F38" s="41"/>
      <c r="G38" s="42"/>
      <c r="H38" s="399" t="s">
        <v>54</v>
      </c>
      <c r="I38" s="359" t="s">
        <v>55</v>
      </c>
      <c r="J38" s="44"/>
      <c r="K38" s="382">
        <f>SUM(K40:K43)</f>
        <v>73206</v>
      </c>
      <c r="L38" s="382">
        <f>SUM(L40:L43)</f>
        <v>1600</v>
      </c>
      <c r="M38" s="352">
        <f t="shared" ref="M38" si="23">L38-K38</f>
        <v>-71606</v>
      </c>
      <c r="N38" s="354">
        <f t="shared" si="22"/>
        <v>-0.97814386798896269</v>
      </c>
    </row>
    <row r="39" spans="1:14" s="28" customFormat="1" ht="14.25" customHeight="1">
      <c r="A39" s="41"/>
      <c r="B39" s="41"/>
      <c r="C39" s="41"/>
      <c r="D39" s="41"/>
      <c r="E39" s="41"/>
      <c r="F39" s="41"/>
      <c r="G39" s="42"/>
      <c r="H39" s="400"/>
      <c r="I39" s="357"/>
      <c r="J39" s="45"/>
      <c r="K39" s="401"/>
      <c r="L39" s="401"/>
      <c r="M39" s="353"/>
      <c r="N39" s="355"/>
    </row>
    <row r="40" spans="1:14" s="28" customFormat="1" ht="16.5" customHeight="1">
      <c r="A40" s="41"/>
      <c r="B40" s="41"/>
      <c r="C40" s="41"/>
      <c r="D40" s="41"/>
      <c r="E40" s="41"/>
      <c r="F40" s="41"/>
      <c r="G40" s="42"/>
      <c r="H40" s="58"/>
      <c r="I40" s="33"/>
      <c r="J40" s="359" t="s">
        <v>56</v>
      </c>
      <c r="K40" s="382">
        <v>2000</v>
      </c>
      <c r="L40" s="382">
        <v>400</v>
      </c>
      <c r="M40" s="352">
        <f t="shared" ref="M40" si="24">L40-K40</f>
        <v>-1600</v>
      </c>
      <c r="N40" s="354">
        <f t="shared" si="22"/>
        <v>-0.8</v>
      </c>
    </row>
    <row r="41" spans="1:14" s="28" customFormat="1" ht="16.5" customHeight="1">
      <c r="A41" s="41"/>
      <c r="B41" s="41"/>
      <c r="C41" s="41"/>
      <c r="D41" s="41"/>
      <c r="E41" s="41"/>
      <c r="F41" s="41"/>
      <c r="G41" s="42"/>
      <c r="H41" s="58"/>
      <c r="I41" s="33"/>
      <c r="J41" s="357"/>
      <c r="K41" s="383"/>
      <c r="L41" s="383"/>
      <c r="M41" s="353"/>
      <c r="N41" s="355"/>
    </row>
    <row r="42" spans="1:14" s="28" customFormat="1" ht="16.5" customHeight="1">
      <c r="A42" s="41"/>
      <c r="B42" s="41"/>
      <c r="C42" s="41"/>
      <c r="D42" s="41"/>
      <c r="E42" s="41"/>
      <c r="F42" s="41"/>
      <c r="G42" s="42"/>
      <c r="H42" s="47"/>
      <c r="I42" s="59"/>
      <c r="J42" s="356" t="s">
        <v>57</v>
      </c>
      <c r="K42" s="382">
        <v>71206</v>
      </c>
      <c r="L42" s="382">
        <v>1200</v>
      </c>
      <c r="M42" s="352">
        <f t="shared" ref="M42" si="25">L42-K42</f>
        <v>-70006</v>
      </c>
      <c r="N42" s="354">
        <f t="shared" si="22"/>
        <v>-0.98314748757127213</v>
      </c>
    </row>
    <row r="43" spans="1:14" s="28" customFormat="1" ht="19.5" customHeight="1">
      <c r="A43" s="41"/>
      <c r="B43" s="41"/>
      <c r="C43" s="41"/>
      <c r="D43" s="41"/>
      <c r="E43" s="41"/>
      <c r="F43" s="41"/>
      <c r="G43" s="42"/>
      <c r="H43" s="47"/>
      <c r="I43" s="59"/>
      <c r="J43" s="357"/>
      <c r="K43" s="401"/>
      <c r="L43" s="383"/>
      <c r="M43" s="353"/>
      <c r="N43" s="355"/>
    </row>
    <row r="44" spans="1:14" s="28" customFormat="1" ht="16.5" customHeight="1">
      <c r="A44" s="41"/>
      <c r="B44" s="41"/>
      <c r="C44" s="41"/>
      <c r="D44" s="41"/>
      <c r="E44" s="41"/>
      <c r="F44" s="41"/>
      <c r="G44" s="42"/>
      <c r="H44" s="366" t="s">
        <v>58</v>
      </c>
      <c r="I44" s="359" t="s">
        <v>58</v>
      </c>
      <c r="J44" s="44"/>
      <c r="K44" s="382">
        <f>SUM(K46+K48+K50)</f>
        <v>138248</v>
      </c>
      <c r="L44" s="382">
        <f>SUM(L46+L48+L50)</f>
        <v>161712</v>
      </c>
      <c r="M44" s="352">
        <f t="shared" ref="M44" si="26">L44-K44</f>
        <v>23464</v>
      </c>
      <c r="N44" s="354">
        <f t="shared" si="22"/>
        <v>0.16972397430704242</v>
      </c>
    </row>
    <row r="45" spans="1:14" s="28" customFormat="1" ht="16.5" customHeight="1">
      <c r="A45" s="41"/>
      <c r="B45" s="41"/>
      <c r="C45" s="41"/>
      <c r="D45" s="41"/>
      <c r="E45" s="41"/>
      <c r="F45" s="41"/>
      <c r="G45" s="42"/>
      <c r="H45" s="367"/>
      <c r="I45" s="357"/>
      <c r="J45" s="45"/>
      <c r="K45" s="401"/>
      <c r="L45" s="401"/>
      <c r="M45" s="353"/>
      <c r="N45" s="355"/>
    </row>
    <row r="46" spans="1:14" s="28" customFormat="1" ht="16.5" customHeight="1">
      <c r="A46" s="41"/>
      <c r="B46" s="41"/>
      <c r="C46" s="41"/>
      <c r="D46" s="41"/>
      <c r="E46" s="41"/>
      <c r="F46" s="41"/>
      <c r="G46" s="42"/>
      <c r="H46" s="47"/>
      <c r="I46" s="46"/>
      <c r="J46" s="356" t="s">
        <v>59</v>
      </c>
      <c r="K46" s="382">
        <v>95792</v>
      </c>
      <c r="L46" s="382">
        <v>102610</v>
      </c>
      <c r="M46" s="352">
        <f t="shared" ref="M46" si="27">L46-K46</f>
        <v>6818</v>
      </c>
      <c r="N46" s="354">
        <f t="shared" si="22"/>
        <v>7.1175045932854522E-2</v>
      </c>
    </row>
    <row r="47" spans="1:14" s="28" customFormat="1" ht="20.25" customHeight="1">
      <c r="A47" s="41"/>
      <c r="B47" s="41"/>
      <c r="C47" s="41"/>
      <c r="D47" s="41"/>
      <c r="E47" s="41"/>
      <c r="F47" s="41"/>
      <c r="G47" s="42"/>
      <c r="H47" s="43"/>
      <c r="I47" s="46"/>
      <c r="J47" s="372"/>
      <c r="K47" s="401"/>
      <c r="L47" s="383"/>
      <c r="M47" s="353"/>
      <c r="N47" s="355"/>
    </row>
    <row r="48" spans="1:14" s="28" customFormat="1" ht="16.5" customHeight="1">
      <c r="A48" s="41"/>
      <c r="B48" s="41"/>
      <c r="C48" s="41"/>
      <c r="D48" s="41"/>
      <c r="E48" s="41"/>
      <c r="F48" s="41"/>
      <c r="G48" s="42"/>
      <c r="H48" s="47"/>
      <c r="I48" s="46"/>
      <c r="J48" s="356" t="s">
        <v>60</v>
      </c>
      <c r="K48" s="382">
        <v>14046</v>
      </c>
      <c r="L48" s="382">
        <v>29632</v>
      </c>
      <c r="M48" s="352">
        <f t="shared" ref="M48" si="28">L48-K48</f>
        <v>15586</v>
      </c>
      <c r="N48" s="354">
        <f t="shared" si="22"/>
        <v>1.1096397550904171</v>
      </c>
    </row>
    <row r="49" spans="1:14" s="28" customFormat="1" ht="20.25" customHeight="1">
      <c r="A49" s="41"/>
      <c r="B49" s="41"/>
      <c r="C49" s="41"/>
      <c r="D49" s="41"/>
      <c r="E49" s="41"/>
      <c r="F49" s="41"/>
      <c r="G49" s="42"/>
      <c r="H49" s="43"/>
      <c r="I49" s="46"/>
      <c r="J49" s="357"/>
      <c r="K49" s="383"/>
      <c r="L49" s="383"/>
      <c r="M49" s="353"/>
      <c r="N49" s="355"/>
    </row>
    <row r="50" spans="1:14" s="28" customFormat="1" ht="17.25" customHeight="1">
      <c r="A50" s="41"/>
      <c r="B50" s="41"/>
      <c r="C50" s="41"/>
      <c r="D50" s="41"/>
      <c r="E50" s="41"/>
      <c r="F50" s="41"/>
      <c r="G50" s="42"/>
      <c r="H50" s="60"/>
      <c r="I50" s="41"/>
      <c r="J50" s="356" t="s">
        <v>61</v>
      </c>
      <c r="K50" s="382">
        <v>28410</v>
      </c>
      <c r="L50" s="382">
        <v>29470</v>
      </c>
      <c r="M50" s="352">
        <f>L50-K50</f>
        <v>1060</v>
      </c>
      <c r="N50" s="354">
        <f t="shared" si="22"/>
        <v>3.7310806054206266E-2</v>
      </c>
    </row>
    <row r="51" spans="1:14" s="28" customFormat="1" ht="17.25" customHeight="1">
      <c r="A51" s="41"/>
      <c r="B51" s="41"/>
      <c r="C51" s="41"/>
      <c r="D51" s="41"/>
      <c r="E51" s="41"/>
      <c r="F51" s="41"/>
      <c r="G51" s="42"/>
      <c r="H51" s="43"/>
      <c r="I51" s="46"/>
      <c r="J51" s="357"/>
      <c r="K51" s="401"/>
      <c r="L51" s="383"/>
      <c r="M51" s="353"/>
      <c r="N51" s="355"/>
    </row>
    <row r="52" spans="1:14" s="28" customFormat="1" ht="33.75" customHeight="1">
      <c r="A52" s="41"/>
      <c r="B52" s="41"/>
      <c r="C52" s="41"/>
      <c r="D52" s="41"/>
      <c r="E52" s="41"/>
      <c r="F52" s="41"/>
      <c r="G52" s="42"/>
      <c r="H52" s="78" t="s">
        <v>63</v>
      </c>
      <c r="I52" s="77" t="s">
        <v>63</v>
      </c>
      <c r="J52" s="71"/>
      <c r="K52" s="72">
        <f>SUM(K53:K54)</f>
        <v>20060</v>
      </c>
      <c r="L52" s="72">
        <f>SUM(L53:L54)</f>
        <v>35945</v>
      </c>
      <c r="M52" s="74">
        <f>L52-K52</f>
        <v>15885</v>
      </c>
      <c r="N52" s="80">
        <v>100</v>
      </c>
    </row>
    <row r="53" spans="1:14" s="28" customFormat="1" ht="33.75" customHeight="1">
      <c r="A53" s="41"/>
      <c r="B53" s="41"/>
      <c r="C53" s="41"/>
      <c r="D53" s="41"/>
      <c r="E53" s="41"/>
      <c r="F53" s="41"/>
      <c r="G53" s="42"/>
      <c r="H53" s="79"/>
      <c r="I53" s="75"/>
      <c r="J53" s="76" t="s">
        <v>24</v>
      </c>
      <c r="K53" s="72">
        <v>20000</v>
      </c>
      <c r="L53" s="73">
        <v>20000</v>
      </c>
      <c r="M53" s="74">
        <f t="shared" ref="M53:M54" si="29">L53-K53</f>
        <v>0</v>
      </c>
      <c r="N53" s="80">
        <v>100</v>
      </c>
    </row>
    <row r="54" spans="1:14" s="28" customFormat="1" ht="33.75" customHeight="1">
      <c r="A54" s="48"/>
      <c r="B54" s="48"/>
      <c r="C54" s="48"/>
      <c r="D54" s="48"/>
      <c r="E54" s="48"/>
      <c r="F54" s="48"/>
      <c r="G54" s="49"/>
      <c r="H54" s="79"/>
      <c r="I54" s="75"/>
      <c r="J54" s="76" t="s">
        <v>23</v>
      </c>
      <c r="K54" s="72">
        <v>60</v>
      </c>
      <c r="L54" s="73">
        <v>15945</v>
      </c>
      <c r="M54" s="74">
        <f t="shared" si="29"/>
        <v>15885</v>
      </c>
      <c r="N54" s="80">
        <v>100</v>
      </c>
    </row>
    <row r="55" spans="1:14" s="28" customFormat="1" ht="36" customHeight="1">
      <c r="A55" s="64"/>
      <c r="B55" s="64"/>
      <c r="C55" s="64"/>
      <c r="D55" s="64"/>
      <c r="E55" s="64"/>
      <c r="F55" s="64"/>
      <c r="G55" s="64"/>
      <c r="H55" s="65"/>
      <c r="I55" s="65"/>
      <c r="J55" s="66"/>
      <c r="K55" s="67"/>
      <c r="L55" s="68"/>
      <c r="M55" s="69"/>
      <c r="N55" s="70"/>
    </row>
    <row r="56" spans="1:14" s="28" customFormat="1" ht="36" customHeight="1">
      <c r="A56" s="64"/>
      <c r="B56" s="64"/>
      <c r="C56" s="64"/>
      <c r="D56" s="64"/>
      <c r="E56" s="64"/>
      <c r="F56" s="64"/>
      <c r="G56" s="64"/>
      <c r="H56" s="65"/>
      <c r="I56" s="65"/>
      <c r="J56" s="66"/>
      <c r="K56" s="67"/>
      <c r="L56" s="68"/>
      <c r="M56" s="69"/>
      <c r="N56" s="70"/>
    </row>
    <row r="57" spans="1:14" s="28" customFormat="1" ht="36" customHeight="1">
      <c r="A57" s="64"/>
      <c r="B57" s="64"/>
      <c r="C57" s="64"/>
      <c r="D57" s="64"/>
      <c r="E57" s="64"/>
      <c r="F57" s="64"/>
      <c r="G57" s="64"/>
      <c r="H57" s="65"/>
      <c r="I57" s="65"/>
      <c r="J57" s="66"/>
      <c r="K57" s="67"/>
      <c r="L57" s="68"/>
      <c r="M57" s="69"/>
      <c r="N57" s="70"/>
    </row>
  </sheetData>
  <mergeCells count="201">
    <mergeCell ref="J50:J51"/>
    <mergeCell ref="K50:K51"/>
    <mergeCell ref="L50:L51"/>
    <mergeCell ref="M50:M51"/>
    <mergeCell ref="N50:N51"/>
    <mergeCell ref="N44:N45"/>
    <mergeCell ref="J46:J47"/>
    <mergeCell ref="K46:K47"/>
    <mergeCell ref="N24:N25"/>
    <mergeCell ref="N48:N49"/>
    <mergeCell ref="N46:N47"/>
    <mergeCell ref="N42:N43"/>
    <mergeCell ref="N40:N41"/>
    <mergeCell ref="N36:N37"/>
    <mergeCell ref="N30:N31"/>
    <mergeCell ref="N26:N27"/>
    <mergeCell ref="J28:J29"/>
    <mergeCell ref="K28:K29"/>
    <mergeCell ref="L28:L29"/>
    <mergeCell ref="M28:M29"/>
    <mergeCell ref="N28:N29"/>
    <mergeCell ref="J22:J23"/>
    <mergeCell ref="J24:J25"/>
    <mergeCell ref="K24:K25"/>
    <mergeCell ref="L24:L25"/>
    <mergeCell ref="M24:M25"/>
    <mergeCell ref="J48:J49"/>
    <mergeCell ref="K48:K49"/>
    <mergeCell ref="L48:L49"/>
    <mergeCell ref="M48:M49"/>
    <mergeCell ref="L46:L47"/>
    <mergeCell ref="M46:M47"/>
    <mergeCell ref="J42:J43"/>
    <mergeCell ref="K42:K43"/>
    <mergeCell ref="L42:L43"/>
    <mergeCell ref="M42:M43"/>
    <mergeCell ref="J36:J37"/>
    <mergeCell ref="K36:K37"/>
    <mergeCell ref="L36:L37"/>
    <mergeCell ref="M36:M37"/>
    <mergeCell ref="M30:M31"/>
    <mergeCell ref="J26:J27"/>
    <mergeCell ref="K26:K27"/>
    <mergeCell ref="L26:L27"/>
    <mergeCell ref="M26:M27"/>
    <mergeCell ref="H44:H45"/>
    <mergeCell ref="I44:I45"/>
    <mergeCell ref="K44:K45"/>
    <mergeCell ref="L44:L45"/>
    <mergeCell ref="M44:M45"/>
    <mergeCell ref="J40:J41"/>
    <mergeCell ref="K40:K41"/>
    <mergeCell ref="L40:L41"/>
    <mergeCell ref="M40:M41"/>
    <mergeCell ref="H38:H39"/>
    <mergeCell ref="I38:I39"/>
    <mergeCell ref="K38:K39"/>
    <mergeCell ref="L38:L39"/>
    <mergeCell ref="M38:M39"/>
    <mergeCell ref="H34:H35"/>
    <mergeCell ref="I34:I35"/>
    <mergeCell ref="J34:J35"/>
    <mergeCell ref="K34:K35"/>
    <mergeCell ref="L34:L35"/>
    <mergeCell ref="M34:N34"/>
    <mergeCell ref="N38:N39"/>
    <mergeCell ref="A34:A35"/>
    <mergeCell ref="B34:B35"/>
    <mergeCell ref="C34:C35"/>
    <mergeCell ref="D34:D35"/>
    <mergeCell ref="E34:E35"/>
    <mergeCell ref="F34:G34"/>
    <mergeCell ref="J30:J31"/>
    <mergeCell ref="K30:K31"/>
    <mergeCell ref="L30:L31"/>
    <mergeCell ref="A33:G33"/>
    <mergeCell ref="H33:N33"/>
    <mergeCell ref="N18:N19"/>
    <mergeCell ref="A22:A23"/>
    <mergeCell ref="B22:B23"/>
    <mergeCell ref="C22:C23"/>
    <mergeCell ref="D22:D23"/>
    <mergeCell ref="E22:E23"/>
    <mergeCell ref="F22:F23"/>
    <mergeCell ref="G22:G23"/>
    <mergeCell ref="H22:H23"/>
    <mergeCell ref="A18:A19"/>
    <mergeCell ref="B18:B19"/>
    <mergeCell ref="C18:C19"/>
    <mergeCell ref="J20:J21"/>
    <mergeCell ref="K20:K21"/>
    <mergeCell ref="L20:L21"/>
    <mergeCell ref="M20:M21"/>
    <mergeCell ref="N20:N21"/>
    <mergeCell ref="I22:I23"/>
    <mergeCell ref="K22:K23"/>
    <mergeCell ref="L22:L23"/>
    <mergeCell ref="M22:M23"/>
    <mergeCell ref="N22:N23"/>
    <mergeCell ref="D20:D21"/>
    <mergeCell ref="E20:E21"/>
    <mergeCell ref="F20:F21"/>
    <mergeCell ref="G20:G21"/>
    <mergeCell ref="J18:J19"/>
    <mergeCell ref="K18:K19"/>
    <mergeCell ref="L18:L19"/>
    <mergeCell ref="M18:M19"/>
    <mergeCell ref="G18:G19"/>
    <mergeCell ref="H18:H19"/>
    <mergeCell ref="I18:I19"/>
    <mergeCell ref="D18:D19"/>
    <mergeCell ref="E18:E19"/>
    <mergeCell ref="F18:F19"/>
    <mergeCell ref="N14:N15"/>
    <mergeCell ref="A16:A17"/>
    <mergeCell ref="B16:B17"/>
    <mergeCell ref="C16:C17"/>
    <mergeCell ref="D16:D17"/>
    <mergeCell ref="E16:E17"/>
    <mergeCell ref="F16:F17"/>
    <mergeCell ref="M16:M17"/>
    <mergeCell ref="N16:N17"/>
    <mergeCell ref="J16:J17"/>
    <mergeCell ref="K16:K17"/>
    <mergeCell ref="L16:L17"/>
    <mergeCell ref="G16:G17"/>
    <mergeCell ref="C14:C15"/>
    <mergeCell ref="D14:D15"/>
    <mergeCell ref="E14:E15"/>
    <mergeCell ref="F14:F15"/>
    <mergeCell ref="G14:G15"/>
    <mergeCell ref="J14:J15"/>
    <mergeCell ref="K14:K15"/>
    <mergeCell ref="L14:L15"/>
    <mergeCell ref="M14:M15"/>
    <mergeCell ref="J8:J9"/>
    <mergeCell ref="K8:K9"/>
    <mergeCell ref="L8:L9"/>
    <mergeCell ref="M8:M9"/>
    <mergeCell ref="M10:M11"/>
    <mergeCell ref="N10:N11"/>
    <mergeCell ref="A12:A13"/>
    <mergeCell ref="B12:B13"/>
    <mergeCell ref="C12:C13"/>
    <mergeCell ref="D12:D13"/>
    <mergeCell ref="E12:E13"/>
    <mergeCell ref="F12:F13"/>
    <mergeCell ref="G12:G13"/>
    <mergeCell ref="J12:J13"/>
    <mergeCell ref="K12:K13"/>
    <mergeCell ref="L12:L13"/>
    <mergeCell ref="M12:M13"/>
    <mergeCell ref="N12:N13"/>
    <mergeCell ref="C10:C11"/>
    <mergeCell ref="D10:D11"/>
    <mergeCell ref="E10:E11"/>
    <mergeCell ref="F10:F11"/>
    <mergeCell ref="G10:G11"/>
    <mergeCell ref="I10:I11"/>
    <mergeCell ref="J10:J11"/>
    <mergeCell ref="K10:K11"/>
    <mergeCell ref="L10:L11"/>
    <mergeCell ref="A6:A7"/>
    <mergeCell ref="B6:B7"/>
    <mergeCell ref="C6:C7"/>
    <mergeCell ref="D6:D7"/>
    <mergeCell ref="E6:E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F6:F7"/>
    <mergeCell ref="G6:G7"/>
    <mergeCell ref="H6:H7"/>
    <mergeCell ref="I6:I7"/>
    <mergeCell ref="J6:J7"/>
    <mergeCell ref="K6:K7"/>
    <mergeCell ref="N8:N9"/>
    <mergeCell ref="H8:H9"/>
    <mergeCell ref="I8:I9"/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</mergeCells>
  <phoneticPr fontId="3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B231"/>
  <sheetViews>
    <sheetView tabSelected="1" topLeftCell="A19" zoomScaleNormal="100" workbookViewId="0">
      <selection activeCell="N38" sqref="N38"/>
    </sheetView>
  </sheetViews>
  <sheetFormatPr defaultRowHeight="13.5"/>
  <cols>
    <col min="1" max="2" width="5.375" style="1" customWidth="1"/>
    <col min="3" max="3" width="7.5" style="1" customWidth="1"/>
    <col min="4" max="4" width="9.375" style="1" customWidth="1"/>
    <col min="5" max="5" width="8.625" style="2" hidden="1" customWidth="1"/>
    <col min="6" max="6" width="8" style="2" hidden="1" customWidth="1"/>
    <col min="7" max="7" width="7.625" style="3" hidden="1" customWidth="1"/>
    <col min="8" max="8" width="7.5" style="4" hidden="1" customWidth="1"/>
    <col min="9" max="9" width="27.75" style="1" customWidth="1"/>
    <col min="10" max="10" width="11.625" style="1" customWidth="1"/>
    <col min="11" max="11" width="3" style="1" customWidth="1"/>
    <col min="12" max="12" width="8.125" style="1" customWidth="1"/>
    <col min="13" max="13" width="4.375" style="1" customWidth="1"/>
    <col min="14" max="14" width="3.625" style="1" customWidth="1"/>
    <col min="15" max="15" width="4.625" style="1" customWidth="1"/>
    <col min="16" max="16" width="4" style="1" customWidth="1"/>
    <col min="17" max="17" width="3.375" style="1" customWidth="1"/>
    <col min="18" max="18" width="11.375" style="1" customWidth="1"/>
    <col min="19" max="19" width="6.5" style="10" customWidth="1"/>
    <col min="20" max="20" width="13.75" style="10" customWidth="1"/>
    <col min="21" max="21" width="6.5" style="10" customWidth="1"/>
    <col min="22" max="22" width="7.375" style="10" customWidth="1"/>
    <col min="23" max="23" width="11.625" style="10" customWidth="1"/>
    <col min="24" max="24" width="7.25" style="1" customWidth="1"/>
    <col min="25" max="25" width="10.5" style="1" customWidth="1"/>
    <col min="26" max="26" width="11.25" style="1" bestFit="1" customWidth="1"/>
    <col min="27" max="27" width="10.625" style="1" customWidth="1"/>
    <col min="28" max="28" width="11.25" style="1" bestFit="1" customWidth="1"/>
    <col min="29" max="16384" width="9" style="1"/>
  </cols>
  <sheetData>
    <row r="1" spans="1:25">
      <c r="A1" s="522" t="s">
        <v>250</v>
      </c>
      <c r="B1" s="522"/>
      <c r="C1" s="522"/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1:25">
      <c r="A2" s="212" t="s">
        <v>70</v>
      </c>
      <c r="B2" s="93"/>
      <c r="C2" s="93"/>
      <c r="D2" s="93"/>
      <c r="E2" s="222"/>
      <c r="F2" s="222"/>
      <c r="G2" s="223"/>
      <c r="H2" s="224"/>
      <c r="I2" s="93"/>
      <c r="J2" s="93"/>
      <c r="K2" s="93"/>
      <c r="L2" s="93"/>
      <c r="M2" s="93"/>
      <c r="N2" s="93"/>
      <c r="O2" s="93"/>
      <c r="P2" s="93"/>
      <c r="Q2" s="93"/>
      <c r="R2" s="160" t="s">
        <v>71</v>
      </c>
    </row>
    <row r="3" spans="1:25" ht="25.5" customHeight="1">
      <c r="A3" s="434" t="s">
        <v>72</v>
      </c>
      <c r="B3" s="434" t="s">
        <v>73</v>
      </c>
      <c r="C3" s="434" t="s">
        <v>74</v>
      </c>
      <c r="D3" s="523" t="s">
        <v>75</v>
      </c>
      <c r="E3" s="301" t="s">
        <v>77</v>
      </c>
      <c r="F3" s="301" t="s">
        <v>274</v>
      </c>
      <c r="G3" s="442" t="s">
        <v>78</v>
      </c>
      <c r="H3" s="443"/>
      <c r="I3" s="436" t="s">
        <v>79</v>
      </c>
      <c r="J3" s="437"/>
      <c r="K3" s="437"/>
      <c r="L3" s="437"/>
      <c r="M3" s="437"/>
      <c r="N3" s="437"/>
      <c r="O3" s="437"/>
      <c r="P3" s="437"/>
      <c r="Q3" s="437"/>
      <c r="R3" s="438"/>
    </row>
    <row r="4" spans="1:25" ht="24" customHeight="1">
      <c r="A4" s="435"/>
      <c r="B4" s="435"/>
      <c r="C4" s="435"/>
      <c r="D4" s="524"/>
      <c r="E4" s="301" t="s">
        <v>65</v>
      </c>
      <c r="F4" s="301" t="s">
        <v>275</v>
      </c>
      <c r="G4" s="140" t="s">
        <v>82</v>
      </c>
      <c r="H4" s="302" t="s">
        <v>83</v>
      </c>
      <c r="I4" s="439"/>
      <c r="J4" s="440"/>
      <c r="K4" s="440"/>
      <c r="L4" s="440"/>
      <c r="M4" s="440"/>
      <c r="N4" s="440"/>
      <c r="O4" s="440"/>
      <c r="P4" s="440"/>
      <c r="Q4" s="440"/>
      <c r="R4" s="441"/>
    </row>
    <row r="5" spans="1:25" ht="27" customHeight="1">
      <c r="A5" s="508" t="s">
        <v>84</v>
      </c>
      <c r="B5" s="508"/>
      <c r="C5" s="508" t="s">
        <v>85</v>
      </c>
      <c r="D5" s="509"/>
      <c r="E5" s="330">
        <f>E9+E11+E15+E13</f>
        <v>567479</v>
      </c>
      <c r="F5" s="330">
        <f>F9+F11+F15+F13</f>
        <v>579174</v>
      </c>
      <c r="G5" s="503">
        <f>F5+F6-E5-E6</f>
        <v>8976.9129999999423</v>
      </c>
      <c r="H5" s="504">
        <f>G5/E5:E6</f>
        <v>1.5818934268933198E-2</v>
      </c>
      <c r="I5" s="331"/>
      <c r="J5" s="332"/>
      <c r="K5" s="332"/>
      <c r="L5" s="332"/>
      <c r="M5" s="332"/>
      <c r="N5" s="332"/>
      <c r="O5" s="332"/>
      <c r="P5" s="332"/>
      <c r="Q5" s="332"/>
      <c r="R5" s="333"/>
    </row>
    <row r="6" spans="1:25" ht="27" customHeight="1">
      <c r="A6" s="498"/>
      <c r="B6" s="498"/>
      <c r="C6" s="498"/>
      <c r="D6" s="519"/>
      <c r="E6" s="330">
        <f>E10+E12+E16+E14</f>
        <v>164043</v>
      </c>
      <c r="F6" s="330">
        <f>F10+F12+F16+F14</f>
        <v>161324.913</v>
      </c>
      <c r="G6" s="520"/>
      <c r="H6" s="521"/>
      <c r="I6" s="331"/>
      <c r="J6" s="332"/>
      <c r="K6" s="332"/>
      <c r="L6" s="332"/>
      <c r="M6" s="332"/>
      <c r="N6" s="332"/>
      <c r="O6" s="332"/>
      <c r="P6" s="332"/>
      <c r="Q6" s="332"/>
      <c r="R6" s="333"/>
    </row>
    <row r="7" spans="1:25" ht="27" customHeight="1">
      <c r="A7" s="508" t="s">
        <v>86</v>
      </c>
      <c r="B7" s="508" t="s">
        <v>86</v>
      </c>
      <c r="C7" s="508"/>
      <c r="D7" s="513"/>
      <c r="E7" s="330">
        <v>0</v>
      </c>
      <c r="F7" s="334">
        <v>0</v>
      </c>
      <c r="G7" s="503"/>
      <c r="H7" s="504"/>
      <c r="I7" s="415"/>
      <c r="J7" s="335"/>
      <c r="K7" s="335"/>
      <c r="L7" s="335"/>
      <c r="M7" s="335"/>
      <c r="N7" s="335"/>
      <c r="O7" s="335"/>
      <c r="P7" s="335"/>
      <c r="Q7" s="335"/>
      <c r="R7" s="511"/>
      <c r="Y7" s="14"/>
    </row>
    <row r="8" spans="1:25" ht="27" customHeight="1">
      <c r="A8" s="498"/>
      <c r="B8" s="498"/>
      <c r="C8" s="498"/>
      <c r="D8" s="502"/>
      <c r="E8" s="330">
        <v>0</v>
      </c>
      <c r="F8" s="334">
        <v>0</v>
      </c>
      <c r="G8" s="427"/>
      <c r="H8" s="510"/>
      <c r="I8" s="416"/>
      <c r="J8" s="336"/>
      <c r="K8" s="336"/>
      <c r="L8" s="336"/>
      <c r="M8" s="336"/>
      <c r="N8" s="336"/>
      <c r="O8" s="336"/>
      <c r="P8" s="336"/>
      <c r="Q8" s="336"/>
      <c r="R8" s="512"/>
      <c r="Y8" s="13"/>
    </row>
    <row r="9" spans="1:25" ht="27" customHeight="1">
      <c r="A9" s="508"/>
      <c r="B9" s="508"/>
      <c r="C9" s="508" t="s">
        <v>87</v>
      </c>
      <c r="D9" s="513"/>
      <c r="E9" s="334">
        <v>567479</v>
      </c>
      <c r="F9" s="334">
        <f>R9/1000</f>
        <v>579174</v>
      </c>
      <c r="G9" s="503">
        <f>F9+F10-E9-E10</f>
        <v>11695</v>
      </c>
      <c r="H9" s="504">
        <v>0.02</v>
      </c>
      <c r="I9" s="493" t="s">
        <v>88</v>
      </c>
      <c r="J9" s="335"/>
      <c r="K9" s="335"/>
      <c r="L9" s="335"/>
      <c r="M9" s="335"/>
      <c r="N9" s="335"/>
      <c r="O9" s="335"/>
      <c r="P9" s="335"/>
      <c r="Q9" s="335"/>
      <c r="R9" s="495">
        <v>579174000</v>
      </c>
      <c r="Y9" s="13"/>
    </row>
    <row r="10" spans="1:25" ht="27" customHeight="1">
      <c r="A10" s="497"/>
      <c r="B10" s="497"/>
      <c r="C10" s="497"/>
      <c r="D10" s="514"/>
      <c r="E10" s="337">
        <v>0</v>
      </c>
      <c r="F10" s="337">
        <v>0</v>
      </c>
      <c r="G10" s="515"/>
      <c r="H10" s="516"/>
      <c r="I10" s="517"/>
      <c r="J10" s="183"/>
      <c r="K10" s="183"/>
      <c r="L10" s="183"/>
      <c r="M10" s="183"/>
      <c r="N10" s="183"/>
      <c r="O10" s="183"/>
      <c r="P10" s="183"/>
      <c r="Q10" s="183"/>
      <c r="R10" s="518"/>
      <c r="Y10" s="12"/>
    </row>
    <row r="11" spans="1:25" ht="27" customHeight="1">
      <c r="A11" s="508" t="s">
        <v>89</v>
      </c>
      <c r="B11" s="508" t="s">
        <v>89</v>
      </c>
      <c r="C11" s="508" t="s">
        <v>89</v>
      </c>
      <c r="D11" s="509"/>
      <c r="E11" s="334">
        <v>0</v>
      </c>
      <c r="F11" s="338">
        <v>0</v>
      </c>
      <c r="G11" s="503">
        <f>F11+F12-E11-E12</f>
        <v>-17143</v>
      </c>
      <c r="H11" s="504">
        <v>-0.05</v>
      </c>
      <c r="I11" s="493" t="s">
        <v>90</v>
      </c>
      <c r="J11" s="335"/>
      <c r="K11" s="335"/>
      <c r="L11" s="335"/>
      <c r="M11" s="335"/>
      <c r="N11" s="335"/>
      <c r="O11" s="335"/>
      <c r="P11" s="335"/>
      <c r="Q11" s="335"/>
      <c r="R11" s="495">
        <f>141257000</f>
        <v>141257000</v>
      </c>
      <c r="Y11" s="12"/>
    </row>
    <row r="12" spans="1:25" ht="27" customHeight="1">
      <c r="A12" s="498"/>
      <c r="B12" s="498"/>
      <c r="C12" s="498"/>
      <c r="D12" s="502"/>
      <c r="E12" s="334">
        <v>158400</v>
      </c>
      <c r="F12" s="334">
        <f>R11/1000</f>
        <v>141257</v>
      </c>
      <c r="G12" s="427"/>
      <c r="H12" s="510"/>
      <c r="I12" s="494"/>
      <c r="J12" s="336"/>
      <c r="K12" s="336"/>
      <c r="L12" s="336"/>
      <c r="M12" s="336"/>
      <c r="N12" s="336"/>
      <c r="O12" s="336"/>
      <c r="P12" s="336"/>
      <c r="Q12" s="336"/>
      <c r="R12" s="496"/>
      <c r="Y12" s="12"/>
    </row>
    <row r="13" spans="1:25" ht="27" customHeight="1">
      <c r="A13" s="506" t="s">
        <v>91</v>
      </c>
      <c r="B13" s="506" t="s">
        <v>91</v>
      </c>
      <c r="C13" s="506" t="s">
        <v>91</v>
      </c>
      <c r="D13" s="507"/>
      <c r="E13" s="334">
        <v>0</v>
      </c>
      <c r="F13" s="334">
        <v>0</v>
      </c>
      <c r="G13" s="426">
        <f>F13+F14-E13-E14</f>
        <v>14444</v>
      </c>
      <c r="H13" s="428">
        <v>1</v>
      </c>
      <c r="I13" s="493" t="s">
        <v>92</v>
      </c>
      <c r="J13" s="183"/>
      <c r="K13" s="183"/>
      <c r="L13" s="183"/>
      <c r="M13" s="183"/>
      <c r="N13" s="183"/>
      <c r="O13" s="183"/>
      <c r="P13" s="183"/>
      <c r="Q13" s="183"/>
      <c r="R13" s="495">
        <f>15944643+4000357</f>
        <v>19945000</v>
      </c>
      <c r="Y13" s="12"/>
    </row>
    <row r="14" spans="1:25" ht="27" customHeight="1">
      <c r="A14" s="506"/>
      <c r="B14" s="506"/>
      <c r="C14" s="506"/>
      <c r="D14" s="507"/>
      <c r="E14" s="334">
        <v>5501</v>
      </c>
      <c r="F14" s="334">
        <f>R13/1000</f>
        <v>19945</v>
      </c>
      <c r="G14" s="427"/>
      <c r="H14" s="429"/>
      <c r="I14" s="494"/>
      <c r="J14" s="183"/>
      <c r="K14" s="183"/>
      <c r="L14" s="183"/>
      <c r="M14" s="183"/>
      <c r="N14" s="183"/>
      <c r="O14" s="183"/>
      <c r="P14" s="183"/>
      <c r="Q14" s="183"/>
      <c r="R14" s="496"/>
      <c r="Y14" s="12"/>
    </row>
    <row r="15" spans="1:25" ht="27" customHeight="1">
      <c r="A15" s="497" t="s">
        <v>93</v>
      </c>
      <c r="B15" s="499" t="s">
        <v>93</v>
      </c>
      <c r="C15" s="497" t="s">
        <v>93</v>
      </c>
      <c r="D15" s="501"/>
      <c r="E15" s="334">
        <v>0</v>
      </c>
      <c r="F15" s="338">
        <v>0</v>
      </c>
      <c r="G15" s="503">
        <f>F15+F16-E15-E16</f>
        <v>-19.087000000000003</v>
      </c>
      <c r="H15" s="504">
        <v>0.09</v>
      </c>
      <c r="I15" s="493" t="s">
        <v>94</v>
      </c>
      <c r="J15" s="335"/>
      <c r="K15" s="335"/>
      <c r="L15" s="335"/>
      <c r="M15" s="335"/>
      <c r="N15" s="335"/>
      <c r="O15" s="335"/>
      <c r="P15" s="335"/>
      <c r="Q15" s="335"/>
      <c r="R15" s="495">
        <f>123273-360</f>
        <v>122913</v>
      </c>
      <c r="Y15" s="12"/>
    </row>
    <row r="16" spans="1:25" ht="27" customHeight="1">
      <c r="A16" s="498"/>
      <c r="B16" s="500"/>
      <c r="C16" s="498"/>
      <c r="D16" s="502"/>
      <c r="E16" s="334">
        <v>142</v>
      </c>
      <c r="F16" s="334">
        <f>R15/1000</f>
        <v>122.913</v>
      </c>
      <c r="G16" s="427"/>
      <c r="H16" s="505"/>
      <c r="I16" s="494"/>
      <c r="J16" s="336"/>
      <c r="K16" s="336"/>
      <c r="L16" s="336"/>
      <c r="M16" s="336"/>
      <c r="N16" s="336"/>
      <c r="O16" s="336"/>
      <c r="P16" s="336"/>
      <c r="Q16" s="336"/>
      <c r="R16" s="496"/>
      <c r="Y16" s="12"/>
    </row>
    <row r="17" spans="1:28" ht="16.5" customHeight="1">
      <c r="A17" s="212" t="s">
        <v>95</v>
      </c>
      <c r="B17" s="212"/>
      <c r="C17" s="297" t="s">
        <v>96</v>
      </c>
      <c r="D17" s="297"/>
      <c r="E17" s="298"/>
      <c r="F17" s="298"/>
      <c r="G17" s="299"/>
      <c r="H17" s="300"/>
      <c r="I17" s="159"/>
      <c r="J17" s="159"/>
      <c r="K17" s="159"/>
      <c r="L17" s="159"/>
      <c r="M17" s="159"/>
      <c r="N17" s="159"/>
      <c r="O17" s="159"/>
      <c r="P17" s="159"/>
      <c r="Q17" s="159"/>
      <c r="R17" s="160" t="s">
        <v>0</v>
      </c>
      <c r="Y17" s="12"/>
    </row>
    <row r="18" spans="1:28" ht="15.75" customHeight="1">
      <c r="A18" s="434" t="s">
        <v>97</v>
      </c>
      <c r="B18" s="434" t="s">
        <v>98</v>
      </c>
      <c r="C18" s="434" t="s">
        <v>99</v>
      </c>
      <c r="D18" s="434" t="s">
        <v>1</v>
      </c>
      <c r="E18" s="301" t="s">
        <v>273</v>
      </c>
      <c r="F18" s="301" t="s">
        <v>274</v>
      </c>
      <c r="G18" s="442" t="s">
        <v>100</v>
      </c>
      <c r="H18" s="443"/>
      <c r="I18" s="436" t="s">
        <v>101</v>
      </c>
      <c r="J18" s="437"/>
      <c r="K18" s="437"/>
      <c r="L18" s="437"/>
      <c r="M18" s="437"/>
      <c r="N18" s="437"/>
      <c r="O18" s="437"/>
      <c r="P18" s="437"/>
      <c r="Q18" s="437"/>
      <c r="R18" s="438"/>
      <c r="Y18" s="12"/>
    </row>
    <row r="19" spans="1:28" ht="15" customHeight="1">
      <c r="A19" s="435"/>
      <c r="B19" s="435"/>
      <c r="C19" s="435"/>
      <c r="D19" s="435"/>
      <c r="E19" s="301" t="s">
        <v>272</v>
      </c>
      <c r="F19" s="301" t="s">
        <v>275</v>
      </c>
      <c r="G19" s="140" t="s">
        <v>2</v>
      </c>
      <c r="H19" s="302" t="s">
        <v>102</v>
      </c>
      <c r="I19" s="439"/>
      <c r="J19" s="440"/>
      <c r="K19" s="440"/>
      <c r="L19" s="440"/>
      <c r="M19" s="440"/>
      <c r="N19" s="440"/>
      <c r="O19" s="440"/>
      <c r="P19" s="440"/>
      <c r="Q19" s="440"/>
      <c r="R19" s="441"/>
      <c r="Y19" s="12"/>
    </row>
    <row r="20" spans="1:28" ht="16.5" customHeight="1">
      <c r="A20" s="470" t="s">
        <v>103</v>
      </c>
      <c r="B20" s="434"/>
      <c r="C20" s="470" t="s">
        <v>96</v>
      </c>
      <c r="D20" s="255"/>
      <c r="E20" s="263">
        <f>SUM(E22,E90,E106,E114)</f>
        <v>567479</v>
      </c>
      <c r="F20" s="263">
        <f>SUM(F22,F90,F106,F114)</f>
        <v>579174</v>
      </c>
      <c r="G20" s="485">
        <f>F20+F21-E20-E21</f>
        <v>8976.9129999999423</v>
      </c>
      <c r="H20" s="457">
        <f>G20/E20:E21</f>
        <v>1.5818934268933198E-2</v>
      </c>
      <c r="I20" s="214"/>
      <c r="J20" s="214"/>
      <c r="K20" s="214"/>
      <c r="L20" s="214"/>
      <c r="M20" s="214"/>
      <c r="N20" s="214"/>
      <c r="O20" s="214"/>
      <c r="P20" s="214"/>
      <c r="Q20" s="214"/>
      <c r="R20" s="215">
        <f>R22+R106+R114+R200</f>
        <v>579174000</v>
      </c>
      <c r="Y20" s="10"/>
    </row>
    <row r="21" spans="1:28" ht="16.5" customHeight="1">
      <c r="A21" s="448"/>
      <c r="B21" s="435"/>
      <c r="C21" s="448"/>
      <c r="D21" s="258"/>
      <c r="E21" s="263">
        <f>SUM(E23,E107,E115,E200)</f>
        <v>164043</v>
      </c>
      <c r="F21" s="263">
        <f>SUM(F23,F107,F115,F200)</f>
        <v>161324.913</v>
      </c>
      <c r="G21" s="486"/>
      <c r="H21" s="459"/>
      <c r="I21" s="152"/>
      <c r="J21" s="178"/>
      <c r="K21" s="99"/>
      <c r="L21" s="99"/>
      <c r="M21" s="99"/>
      <c r="N21" s="99"/>
      <c r="O21" s="99"/>
      <c r="P21" s="99"/>
      <c r="Q21" s="99"/>
      <c r="R21" s="209">
        <f>R23+R107+R115+R201</f>
        <v>161324913</v>
      </c>
      <c r="Y21" s="10"/>
    </row>
    <row r="22" spans="1:28" ht="16.5" customHeight="1">
      <c r="A22" s="470" t="s">
        <v>104</v>
      </c>
      <c r="B22" s="470"/>
      <c r="C22" s="470"/>
      <c r="D22" s="255"/>
      <c r="E22" s="263">
        <f>SUM(E24,E90)</f>
        <v>464919</v>
      </c>
      <c r="F22" s="263">
        <f>SUM(F24,F90)</f>
        <v>476614</v>
      </c>
      <c r="G22" s="485">
        <f>F22+F23-E22-E23</f>
        <v>41234.270000000019</v>
      </c>
      <c r="H22" s="457">
        <f>G22/E22:E23</f>
        <v>8.8691298914434599E-2</v>
      </c>
      <c r="I22" s="96"/>
      <c r="J22" s="107"/>
      <c r="K22" s="96"/>
      <c r="L22" s="96"/>
      <c r="M22" s="96"/>
      <c r="N22" s="96"/>
      <c r="O22" s="96"/>
      <c r="P22" s="96"/>
      <c r="Q22" s="96"/>
      <c r="R22" s="213">
        <f>R24+R90</f>
        <v>476614000</v>
      </c>
      <c r="Y22" s="10"/>
    </row>
    <row r="23" spans="1:28" ht="16.5" customHeight="1">
      <c r="A23" s="448"/>
      <c r="B23" s="448"/>
      <c r="C23" s="448"/>
      <c r="D23" s="258"/>
      <c r="E23" s="263">
        <f>SUM(E25,E91)</f>
        <v>35089</v>
      </c>
      <c r="F23" s="263">
        <f>SUM(F25,F91)</f>
        <v>64628.270000000004</v>
      </c>
      <c r="G23" s="486"/>
      <c r="H23" s="459"/>
      <c r="I23" s="99"/>
      <c r="J23" s="178"/>
      <c r="K23" s="99"/>
      <c r="L23" s="99"/>
      <c r="M23" s="99"/>
      <c r="N23" s="99"/>
      <c r="O23" s="99"/>
      <c r="P23" s="99"/>
      <c r="Q23" s="99"/>
      <c r="R23" s="130">
        <f>R25+R91</f>
        <v>64628270</v>
      </c>
      <c r="Y23" s="10"/>
    </row>
    <row r="24" spans="1:28" ht="16.5" customHeight="1">
      <c r="A24" s="255"/>
      <c r="B24" s="470" t="s">
        <v>105</v>
      </c>
      <c r="C24" s="257"/>
      <c r="D24" s="257"/>
      <c r="E24" s="263">
        <f>SUM(E26,E56,E69,E72,E79)</f>
        <v>464919</v>
      </c>
      <c r="F24" s="263">
        <f>SUM(F26,F56,F69,F72,F79)</f>
        <v>476614</v>
      </c>
      <c r="G24" s="485">
        <f>F24+F25-E24-E25</f>
        <v>40994.270000000019</v>
      </c>
      <c r="H24" s="457">
        <f>G24/E24:E25</f>
        <v>8.8175079960165145E-2</v>
      </c>
      <c r="I24" s="96"/>
      <c r="J24" s="107"/>
      <c r="K24" s="96"/>
      <c r="L24" s="96"/>
      <c r="M24" s="96"/>
      <c r="N24" s="96"/>
      <c r="O24" s="96"/>
      <c r="P24" s="96"/>
      <c r="Q24" s="96"/>
      <c r="R24" s="119">
        <f>SUM(R52,R67,R74,R88)</f>
        <v>476614000</v>
      </c>
      <c r="T24" s="21"/>
      <c r="U24" s="11"/>
      <c r="V24" s="11"/>
      <c r="W24" s="11"/>
      <c r="X24" s="11"/>
      <c r="Y24" s="11"/>
      <c r="Z24" s="11"/>
      <c r="AA24" s="11"/>
      <c r="AB24" s="11"/>
    </row>
    <row r="25" spans="1:28" ht="16.5" customHeight="1">
      <c r="A25" s="296" t="s">
        <v>96</v>
      </c>
      <c r="B25" s="448"/>
      <c r="C25" s="293"/>
      <c r="D25" s="293"/>
      <c r="E25" s="263">
        <f>SUM(E27,E57,E71,E74,E81)</f>
        <v>31729</v>
      </c>
      <c r="F25" s="263">
        <f>SUM(F27,F57,F71,F74,F81)</f>
        <v>61028.270000000004</v>
      </c>
      <c r="G25" s="486"/>
      <c r="H25" s="459"/>
      <c r="I25" s="99"/>
      <c r="J25" s="178"/>
      <c r="K25" s="99"/>
      <c r="L25" s="99"/>
      <c r="M25" s="99"/>
      <c r="N25" s="99"/>
      <c r="O25" s="99"/>
      <c r="P25" s="99"/>
      <c r="Q25" s="99"/>
      <c r="R25" s="109">
        <f>SUM(R68,R71,R75,R89)</f>
        <v>61028270</v>
      </c>
      <c r="T25" s="12"/>
      <c r="U25" s="12"/>
      <c r="V25" s="12"/>
      <c r="W25" s="12"/>
      <c r="X25" s="12"/>
      <c r="Y25" s="12"/>
      <c r="Z25" s="12"/>
      <c r="AA25" s="12"/>
      <c r="AB25" s="12"/>
    </row>
    <row r="26" spans="1:28" ht="14.1" customHeight="1">
      <c r="A26" s="296"/>
      <c r="B26" s="296"/>
      <c r="C26" s="470" t="s">
        <v>106</v>
      </c>
      <c r="D26" s="255"/>
      <c r="E26" s="246">
        <v>325349</v>
      </c>
      <c r="F26" s="246">
        <f>R52/1000</f>
        <v>352730.68</v>
      </c>
      <c r="G26" s="490">
        <f>F26+F27-E26-E27</f>
        <v>27381.679999999993</v>
      </c>
      <c r="H26" s="492">
        <f>G26/E26:E27</f>
        <v>8.4160947167503178E-2</v>
      </c>
      <c r="I26" s="87" t="s">
        <v>299</v>
      </c>
      <c r="J26" s="88">
        <v>2780000</v>
      </c>
      <c r="K26" s="89" t="s">
        <v>107</v>
      </c>
      <c r="L26" s="89">
        <v>1</v>
      </c>
      <c r="M26" s="90" t="s">
        <v>108</v>
      </c>
      <c r="N26" s="89" t="s">
        <v>109</v>
      </c>
      <c r="O26" s="91">
        <v>2</v>
      </c>
      <c r="P26" s="90" t="s">
        <v>110</v>
      </c>
      <c r="Q26" s="89" t="s">
        <v>111</v>
      </c>
      <c r="R26" s="92">
        <f t="shared" ref="R26:R49" si="0">J26*L26*O26</f>
        <v>5560000</v>
      </c>
      <c r="S26" s="93">
        <v>100</v>
      </c>
      <c r="T26" s="12"/>
      <c r="U26" s="13"/>
      <c r="V26" s="13"/>
      <c r="W26" s="13"/>
      <c r="Y26" s="13"/>
      <c r="Z26" s="13"/>
      <c r="AA26" s="13"/>
      <c r="AB26" s="13"/>
    </row>
    <row r="27" spans="1:28" ht="14.1" customHeight="1">
      <c r="A27" s="296"/>
      <c r="B27" s="296"/>
      <c r="C27" s="448"/>
      <c r="D27" s="258"/>
      <c r="E27" s="246"/>
      <c r="F27" s="246"/>
      <c r="G27" s="490"/>
      <c r="H27" s="492"/>
      <c r="I27" s="87"/>
      <c r="J27" s="88">
        <v>2818000</v>
      </c>
      <c r="K27" s="89" t="s">
        <v>107</v>
      </c>
      <c r="L27" s="89">
        <v>1</v>
      </c>
      <c r="M27" s="90" t="s">
        <v>112</v>
      </c>
      <c r="N27" s="89" t="s">
        <v>107</v>
      </c>
      <c r="O27" s="90">
        <v>10</v>
      </c>
      <c r="P27" s="90" t="s">
        <v>113</v>
      </c>
      <c r="Q27" s="89" t="s">
        <v>111</v>
      </c>
      <c r="R27" s="92">
        <f t="shared" si="0"/>
        <v>28180000</v>
      </c>
      <c r="S27" s="218">
        <v>100</v>
      </c>
      <c r="T27" s="15"/>
      <c r="U27" s="16"/>
      <c r="V27" s="16"/>
      <c r="W27" s="17"/>
      <c r="Y27" s="13"/>
      <c r="Z27" s="13"/>
      <c r="AA27" s="13"/>
      <c r="AB27" s="13"/>
    </row>
    <row r="28" spans="1:28" ht="14.1" customHeight="1">
      <c r="A28" s="296"/>
      <c r="B28" s="296"/>
      <c r="C28" s="257"/>
      <c r="D28" s="257"/>
      <c r="E28" s="247"/>
      <c r="F28" s="247"/>
      <c r="G28" s="248"/>
      <c r="H28" s="264"/>
      <c r="I28" s="87" t="s">
        <v>300</v>
      </c>
      <c r="J28" s="88">
        <v>2413000</v>
      </c>
      <c r="K28" s="89" t="s">
        <v>107</v>
      </c>
      <c r="L28" s="89">
        <v>1</v>
      </c>
      <c r="M28" s="90" t="s">
        <v>112</v>
      </c>
      <c r="N28" s="89" t="s">
        <v>107</v>
      </c>
      <c r="O28" s="90">
        <v>1</v>
      </c>
      <c r="P28" s="90" t="s">
        <v>113</v>
      </c>
      <c r="Q28" s="89" t="s">
        <v>111</v>
      </c>
      <c r="R28" s="92">
        <f t="shared" si="0"/>
        <v>2413000</v>
      </c>
      <c r="S28" s="19"/>
      <c r="T28" s="15"/>
      <c r="U28" s="16"/>
      <c r="V28" s="16"/>
      <c r="W28" s="18"/>
      <c r="Y28" s="13"/>
      <c r="Z28" s="13"/>
      <c r="AA28" s="13"/>
      <c r="AB28" s="13"/>
    </row>
    <row r="29" spans="1:28" ht="14.1" customHeight="1">
      <c r="A29" s="296"/>
      <c r="B29" s="296"/>
      <c r="C29" s="257"/>
      <c r="D29" s="257"/>
      <c r="E29" s="247"/>
      <c r="F29" s="247"/>
      <c r="G29" s="248"/>
      <c r="H29" s="264"/>
      <c r="I29" s="93"/>
      <c r="J29" s="88">
        <v>2446000</v>
      </c>
      <c r="K29" s="89" t="s">
        <v>107</v>
      </c>
      <c r="L29" s="89">
        <v>1</v>
      </c>
      <c r="M29" s="90" t="s">
        <v>112</v>
      </c>
      <c r="N29" s="89" t="s">
        <v>107</v>
      </c>
      <c r="O29" s="90">
        <v>11</v>
      </c>
      <c r="P29" s="90" t="s">
        <v>113</v>
      </c>
      <c r="Q29" s="89" t="s">
        <v>111</v>
      </c>
      <c r="R29" s="92">
        <f t="shared" si="0"/>
        <v>26906000</v>
      </c>
      <c r="S29" s="19"/>
      <c r="T29" s="15"/>
      <c r="U29" s="15"/>
      <c r="V29" s="16"/>
      <c r="W29" s="18"/>
      <c r="Y29" s="12"/>
      <c r="Z29" s="12"/>
      <c r="AA29" s="12"/>
      <c r="AB29" s="12"/>
    </row>
    <row r="30" spans="1:28" ht="14.1" customHeight="1">
      <c r="A30" s="296"/>
      <c r="B30" s="296"/>
      <c r="C30" s="306"/>
      <c r="D30" s="306"/>
      <c r="E30" s="247"/>
      <c r="F30" s="247"/>
      <c r="G30" s="249"/>
      <c r="H30" s="266"/>
      <c r="I30" s="87" t="s">
        <v>301</v>
      </c>
      <c r="J30" s="88">
        <v>2126000</v>
      </c>
      <c r="K30" s="90" t="s">
        <v>114</v>
      </c>
      <c r="L30" s="89">
        <v>1</v>
      </c>
      <c r="M30" s="90" t="s">
        <v>108</v>
      </c>
      <c r="N30" s="90" t="s">
        <v>114</v>
      </c>
      <c r="O30" s="90">
        <v>4</v>
      </c>
      <c r="P30" s="90" t="s">
        <v>115</v>
      </c>
      <c r="Q30" s="90" t="s">
        <v>116</v>
      </c>
      <c r="R30" s="92">
        <f t="shared" si="0"/>
        <v>8504000</v>
      </c>
      <c r="S30" s="218"/>
      <c r="T30" s="15"/>
      <c r="U30" s="15"/>
      <c r="V30" s="16"/>
      <c r="W30" s="16"/>
      <c r="Y30" s="12"/>
      <c r="Z30" s="12"/>
      <c r="AA30" s="12"/>
      <c r="AB30" s="12"/>
    </row>
    <row r="31" spans="1:28" ht="14.1" customHeight="1">
      <c r="A31" s="296"/>
      <c r="B31" s="296"/>
      <c r="C31" s="306"/>
      <c r="D31" s="306"/>
      <c r="E31" s="247"/>
      <c r="F31" s="247"/>
      <c r="G31" s="249"/>
      <c r="H31" s="266"/>
      <c r="I31" s="87"/>
      <c r="J31" s="88">
        <v>2160000</v>
      </c>
      <c r="K31" s="90" t="s">
        <v>114</v>
      </c>
      <c r="L31" s="89">
        <v>1</v>
      </c>
      <c r="M31" s="90" t="s">
        <v>112</v>
      </c>
      <c r="N31" s="90" t="s">
        <v>114</v>
      </c>
      <c r="O31" s="90">
        <v>8</v>
      </c>
      <c r="P31" s="90" t="s">
        <v>115</v>
      </c>
      <c r="Q31" s="90" t="s">
        <v>116</v>
      </c>
      <c r="R31" s="92">
        <f t="shared" si="0"/>
        <v>17280000</v>
      </c>
      <c r="S31" s="219"/>
      <c r="Y31" s="12"/>
      <c r="Z31" s="12"/>
      <c r="AA31" s="12"/>
      <c r="AB31" s="12"/>
    </row>
    <row r="32" spans="1:28" ht="14.1" customHeight="1">
      <c r="A32" s="296"/>
      <c r="B32" s="296"/>
      <c r="C32" s="306"/>
      <c r="D32" s="306"/>
      <c r="E32" s="247"/>
      <c r="F32" s="247"/>
      <c r="G32" s="257"/>
      <c r="H32" s="266"/>
      <c r="I32" s="87" t="s">
        <v>302</v>
      </c>
      <c r="J32" s="88">
        <v>1852000</v>
      </c>
      <c r="K32" s="89" t="s">
        <v>107</v>
      </c>
      <c r="L32" s="89">
        <v>1</v>
      </c>
      <c r="M32" s="90" t="s">
        <v>112</v>
      </c>
      <c r="N32" s="89" t="s">
        <v>107</v>
      </c>
      <c r="O32" s="90">
        <v>10</v>
      </c>
      <c r="P32" s="90" t="s">
        <v>113</v>
      </c>
      <c r="Q32" s="89" t="s">
        <v>111</v>
      </c>
      <c r="R32" s="92">
        <f t="shared" si="0"/>
        <v>18520000</v>
      </c>
      <c r="S32" s="19"/>
      <c r="T32" s="15"/>
      <c r="U32" s="15"/>
      <c r="V32" s="20"/>
      <c r="W32" s="18"/>
      <c r="Y32" s="12"/>
      <c r="Z32" s="12"/>
      <c r="AA32" s="12"/>
      <c r="AB32" s="12"/>
    </row>
    <row r="33" spans="1:28" ht="14.1" customHeight="1">
      <c r="A33" s="296" t="s">
        <v>117</v>
      </c>
      <c r="B33" s="296"/>
      <c r="C33" s="306"/>
      <c r="D33" s="306"/>
      <c r="E33" s="247"/>
      <c r="F33" s="247"/>
      <c r="G33" s="257"/>
      <c r="H33" s="266"/>
      <c r="I33" s="87"/>
      <c r="J33" s="88">
        <v>1881000</v>
      </c>
      <c r="K33" s="89" t="s">
        <v>107</v>
      </c>
      <c r="L33" s="89">
        <v>1</v>
      </c>
      <c r="M33" s="90" t="s">
        <v>112</v>
      </c>
      <c r="N33" s="89" t="s">
        <v>107</v>
      </c>
      <c r="O33" s="90">
        <v>2</v>
      </c>
      <c r="P33" s="90" t="s">
        <v>113</v>
      </c>
      <c r="Q33" s="89" t="s">
        <v>111</v>
      </c>
      <c r="R33" s="92">
        <f t="shared" ref="R33" si="1">J33*L33*O33</f>
        <v>3762000</v>
      </c>
      <c r="S33" s="19"/>
      <c r="T33" s="19"/>
      <c r="U33" s="19"/>
    </row>
    <row r="34" spans="1:28" ht="14.1" customHeight="1">
      <c r="A34" s="296" t="s">
        <v>117</v>
      </c>
      <c r="B34" s="296"/>
      <c r="C34" s="306"/>
      <c r="D34" s="306"/>
      <c r="E34" s="247"/>
      <c r="F34" s="247"/>
      <c r="G34" s="257"/>
      <c r="H34" s="266"/>
      <c r="I34" s="87" t="s">
        <v>303</v>
      </c>
      <c r="J34" s="88">
        <v>1472000</v>
      </c>
      <c r="K34" s="89" t="s">
        <v>107</v>
      </c>
      <c r="L34" s="89">
        <v>1</v>
      </c>
      <c r="M34" s="90" t="s">
        <v>112</v>
      </c>
      <c r="N34" s="89" t="s">
        <v>107</v>
      </c>
      <c r="O34" s="90">
        <v>11</v>
      </c>
      <c r="P34" s="90" t="s">
        <v>113</v>
      </c>
      <c r="Q34" s="89" t="s">
        <v>111</v>
      </c>
      <c r="R34" s="92">
        <f t="shared" si="0"/>
        <v>16192000</v>
      </c>
      <c r="S34" s="19"/>
      <c r="T34" s="19"/>
      <c r="U34" s="19"/>
    </row>
    <row r="35" spans="1:28" ht="14.1" customHeight="1">
      <c r="A35" s="296"/>
      <c r="B35" s="296"/>
      <c r="C35" s="306"/>
      <c r="D35" s="306"/>
      <c r="E35" s="247"/>
      <c r="F35" s="247"/>
      <c r="G35" s="257"/>
      <c r="H35" s="266"/>
      <c r="I35" s="87"/>
      <c r="J35" s="88">
        <v>1570000</v>
      </c>
      <c r="K35" s="90" t="s">
        <v>114</v>
      </c>
      <c r="L35" s="89">
        <v>1</v>
      </c>
      <c r="M35" s="90" t="s">
        <v>118</v>
      </c>
      <c r="N35" s="90" t="s">
        <v>114</v>
      </c>
      <c r="O35" s="90">
        <v>1</v>
      </c>
      <c r="P35" s="90" t="s">
        <v>115</v>
      </c>
      <c r="Q35" s="90" t="s">
        <v>116</v>
      </c>
      <c r="R35" s="92">
        <f t="shared" ref="R35" si="2">J35*L35*O35</f>
        <v>1570000</v>
      </c>
      <c r="Y35" s="12"/>
      <c r="Z35" s="12"/>
      <c r="AA35" s="12"/>
      <c r="AB35" s="12"/>
    </row>
    <row r="36" spans="1:28" ht="14.1" customHeight="1">
      <c r="A36" s="296"/>
      <c r="B36" s="296"/>
      <c r="C36" s="306"/>
      <c r="D36" s="306"/>
      <c r="E36" s="247"/>
      <c r="F36" s="247"/>
      <c r="G36" s="257"/>
      <c r="H36" s="266"/>
      <c r="I36" s="87" t="s">
        <v>304</v>
      </c>
      <c r="J36" s="88">
        <v>1786000</v>
      </c>
      <c r="K36" s="90" t="s">
        <v>114</v>
      </c>
      <c r="L36" s="89">
        <v>1</v>
      </c>
      <c r="M36" s="90" t="s">
        <v>118</v>
      </c>
      <c r="N36" s="90" t="s">
        <v>114</v>
      </c>
      <c r="O36" s="90">
        <v>12</v>
      </c>
      <c r="P36" s="90" t="s">
        <v>115</v>
      </c>
      <c r="Q36" s="90" t="s">
        <v>116</v>
      </c>
      <c r="R36" s="92">
        <f t="shared" si="0"/>
        <v>21432000</v>
      </c>
      <c r="Y36" s="12"/>
      <c r="Z36" s="12"/>
      <c r="AA36" s="12"/>
      <c r="AB36" s="12"/>
    </row>
    <row r="37" spans="1:28" s="5" customFormat="1" ht="14.1" customHeight="1">
      <c r="A37" s="296"/>
      <c r="B37" s="296"/>
      <c r="C37" s="306"/>
      <c r="D37" s="306"/>
      <c r="E37" s="247"/>
      <c r="F37" s="247"/>
      <c r="G37" s="257"/>
      <c r="H37" s="266"/>
      <c r="I37" s="87" t="s">
        <v>305</v>
      </c>
      <c r="J37" s="88">
        <v>1399000</v>
      </c>
      <c r="K37" s="90" t="s">
        <v>114</v>
      </c>
      <c r="L37" s="89">
        <v>1</v>
      </c>
      <c r="M37" s="90" t="s">
        <v>112</v>
      </c>
      <c r="N37" s="89" t="s">
        <v>107</v>
      </c>
      <c r="O37" s="90">
        <v>12</v>
      </c>
      <c r="P37" s="90" t="s">
        <v>113</v>
      </c>
      <c r="Q37" s="89" t="s">
        <v>111</v>
      </c>
      <c r="R37" s="92">
        <f t="shared" si="0"/>
        <v>16788000</v>
      </c>
      <c r="S37" s="81"/>
      <c r="T37" s="81"/>
      <c r="U37" s="81"/>
      <c r="V37" s="19"/>
      <c r="W37" s="18"/>
      <c r="X37" s="1"/>
    </row>
    <row r="38" spans="1:28" ht="14.1" customHeight="1">
      <c r="A38" s="296"/>
      <c r="B38" s="296"/>
      <c r="C38" s="306"/>
      <c r="D38" s="306"/>
      <c r="E38" s="247"/>
      <c r="F38" s="247"/>
      <c r="G38" s="257"/>
      <c r="H38" s="266"/>
      <c r="I38" s="87" t="s">
        <v>306</v>
      </c>
      <c r="J38" s="88">
        <v>1357000</v>
      </c>
      <c r="K38" s="89" t="s">
        <v>107</v>
      </c>
      <c r="L38" s="89">
        <v>1</v>
      </c>
      <c r="M38" s="90" t="s">
        <v>112</v>
      </c>
      <c r="N38" s="89" t="s">
        <v>107</v>
      </c>
      <c r="O38" s="90">
        <v>3</v>
      </c>
      <c r="P38" s="90" t="s">
        <v>113</v>
      </c>
      <c r="Q38" s="89" t="s">
        <v>111</v>
      </c>
      <c r="R38" s="92">
        <f t="shared" si="0"/>
        <v>4071000</v>
      </c>
      <c r="S38" s="19"/>
      <c r="T38" s="15"/>
      <c r="U38" s="15"/>
      <c r="V38" s="83"/>
      <c r="W38" s="19"/>
      <c r="X38" s="5"/>
      <c r="Y38" s="12"/>
      <c r="Z38" s="12"/>
      <c r="AA38" s="12"/>
      <c r="AB38" s="12"/>
    </row>
    <row r="39" spans="1:28" ht="14.1" customHeight="1">
      <c r="A39" s="296"/>
      <c r="B39" s="296"/>
      <c r="C39" s="306"/>
      <c r="D39" s="306"/>
      <c r="E39" s="247"/>
      <c r="F39" s="247"/>
      <c r="G39" s="257"/>
      <c r="H39" s="266"/>
      <c r="I39" s="87"/>
      <c r="J39" s="88">
        <v>1399000</v>
      </c>
      <c r="K39" s="89" t="s">
        <v>107</v>
      </c>
      <c r="L39" s="89">
        <v>1</v>
      </c>
      <c r="M39" s="90" t="s">
        <v>112</v>
      </c>
      <c r="N39" s="89" t="s">
        <v>107</v>
      </c>
      <c r="O39" s="90">
        <v>9</v>
      </c>
      <c r="P39" s="90" t="s">
        <v>113</v>
      </c>
      <c r="Q39" s="89" t="s">
        <v>111</v>
      </c>
      <c r="R39" s="92">
        <f t="shared" ref="R39" si="3">J39*L39*O39</f>
        <v>12591000</v>
      </c>
      <c r="S39" s="19"/>
      <c r="T39" s="15"/>
      <c r="U39" s="15"/>
      <c r="V39" s="16"/>
      <c r="W39" s="19"/>
      <c r="X39" s="5"/>
      <c r="Y39" s="12"/>
      <c r="Z39" s="12"/>
      <c r="AA39" s="12"/>
      <c r="AB39" s="12"/>
    </row>
    <row r="40" spans="1:28" ht="14.1" customHeight="1">
      <c r="A40" s="296"/>
      <c r="B40" s="296"/>
      <c r="C40" s="306"/>
      <c r="D40" s="306"/>
      <c r="E40" s="247"/>
      <c r="F40" s="247"/>
      <c r="G40" s="257"/>
      <c r="H40" s="266"/>
      <c r="I40" s="87" t="s">
        <v>307</v>
      </c>
      <c r="J40" s="88">
        <v>1291000</v>
      </c>
      <c r="K40" s="89" t="s">
        <v>107</v>
      </c>
      <c r="L40" s="89">
        <v>1</v>
      </c>
      <c r="M40" s="90" t="s">
        <v>112</v>
      </c>
      <c r="N40" s="89" t="s">
        <v>107</v>
      </c>
      <c r="O40" s="90">
        <v>3</v>
      </c>
      <c r="P40" s="90" t="s">
        <v>113</v>
      </c>
      <c r="Q40" s="89" t="s">
        <v>111</v>
      </c>
      <c r="R40" s="92">
        <f t="shared" si="0"/>
        <v>3873000</v>
      </c>
      <c r="S40" s="19"/>
      <c r="T40" s="15"/>
      <c r="U40" s="15"/>
      <c r="V40" s="16"/>
      <c r="W40" s="19"/>
      <c r="X40" s="5"/>
      <c r="Y40" s="12"/>
      <c r="Z40" s="12"/>
      <c r="AA40" s="12"/>
      <c r="AB40" s="12"/>
    </row>
    <row r="41" spans="1:28" ht="14.1" customHeight="1">
      <c r="A41" s="296"/>
      <c r="B41" s="296"/>
      <c r="C41" s="306"/>
      <c r="D41" s="306"/>
      <c r="E41" s="247"/>
      <c r="F41" s="247"/>
      <c r="G41" s="257"/>
      <c r="H41" s="266"/>
      <c r="I41" s="87"/>
      <c r="J41" s="88">
        <v>1321000</v>
      </c>
      <c r="K41" s="89" t="s">
        <v>107</v>
      </c>
      <c r="L41" s="89">
        <v>1</v>
      </c>
      <c r="M41" s="90" t="s">
        <v>112</v>
      </c>
      <c r="N41" s="89" t="s">
        <v>107</v>
      </c>
      <c r="O41" s="90">
        <v>7</v>
      </c>
      <c r="P41" s="90" t="s">
        <v>113</v>
      </c>
      <c r="Q41" s="89" t="s">
        <v>111</v>
      </c>
      <c r="R41" s="92">
        <f t="shared" ref="R41:R42" si="4">J41*L41*O41</f>
        <v>9247000</v>
      </c>
      <c r="S41" s="19"/>
      <c r="T41" s="15"/>
      <c r="U41" s="15"/>
      <c r="V41" s="16"/>
      <c r="W41" s="18"/>
      <c r="Y41" s="12"/>
      <c r="Z41" s="12"/>
      <c r="AA41" s="12"/>
      <c r="AB41" s="12"/>
    </row>
    <row r="42" spans="1:28" ht="14.1" customHeight="1">
      <c r="A42" s="296"/>
      <c r="B42" s="296"/>
      <c r="C42" s="306"/>
      <c r="D42" s="306"/>
      <c r="E42" s="247"/>
      <c r="F42" s="247"/>
      <c r="G42" s="257"/>
      <c r="H42" s="266"/>
      <c r="I42" s="87"/>
      <c r="J42" s="88">
        <v>1357000</v>
      </c>
      <c r="K42" s="89" t="s">
        <v>107</v>
      </c>
      <c r="L42" s="89">
        <v>1</v>
      </c>
      <c r="M42" s="90" t="s">
        <v>112</v>
      </c>
      <c r="N42" s="89" t="s">
        <v>107</v>
      </c>
      <c r="O42" s="90">
        <v>2</v>
      </c>
      <c r="P42" s="90" t="s">
        <v>113</v>
      </c>
      <c r="Q42" s="89" t="s">
        <v>111</v>
      </c>
      <c r="R42" s="92">
        <f t="shared" si="4"/>
        <v>2714000</v>
      </c>
      <c r="S42" s="19"/>
      <c r="T42" s="15"/>
      <c r="U42" s="15"/>
      <c r="V42" s="16"/>
      <c r="W42" s="18"/>
      <c r="Y42" s="12"/>
      <c r="Z42" s="12"/>
      <c r="AA42" s="12"/>
      <c r="AB42" s="12"/>
    </row>
    <row r="43" spans="1:28" ht="14.1" customHeight="1">
      <c r="A43" s="296"/>
      <c r="B43" s="296"/>
      <c r="C43" s="306"/>
      <c r="D43" s="306"/>
      <c r="E43" s="247"/>
      <c r="F43" s="247"/>
      <c r="G43" s="257"/>
      <c r="H43" s="266"/>
      <c r="I43" s="87" t="s">
        <v>308</v>
      </c>
      <c r="J43" s="88">
        <v>1364000</v>
      </c>
      <c r="K43" s="89" t="s">
        <v>107</v>
      </c>
      <c r="L43" s="89">
        <v>1</v>
      </c>
      <c r="M43" s="90" t="s">
        <v>112</v>
      </c>
      <c r="N43" s="89" t="s">
        <v>107</v>
      </c>
      <c r="O43" s="90">
        <v>12</v>
      </c>
      <c r="P43" s="90" t="s">
        <v>113</v>
      </c>
      <c r="Q43" s="89" t="s">
        <v>111</v>
      </c>
      <c r="R43" s="92">
        <f t="shared" si="0"/>
        <v>16368000</v>
      </c>
      <c r="S43" s="19"/>
      <c r="T43" s="15"/>
      <c r="U43" s="15"/>
      <c r="V43" s="16"/>
      <c r="W43" s="18"/>
      <c r="Y43" s="12"/>
      <c r="Z43" s="12"/>
      <c r="AA43" s="12"/>
      <c r="AB43" s="12"/>
    </row>
    <row r="44" spans="1:28" ht="14.1" customHeight="1">
      <c r="A44" s="296"/>
      <c r="B44" s="296"/>
      <c r="C44" s="306"/>
      <c r="D44" s="306"/>
      <c r="E44" s="247"/>
      <c r="F44" s="247"/>
      <c r="G44" s="257"/>
      <c r="H44" s="266"/>
      <c r="I44" s="87" t="s">
        <v>309</v>
      </c>
      <c r="J44" s="88">
        <v>1333000</v>
      </c>
      <c r="K44" s="89" t="s">
        <v>107</v>
      </c>
      <c r="L44" s="89">
        <v>1</v>
      </c>
      <c r="M44" s="90" t="s">
        <v>112</v>
      </c>
      <c r="N44" s="89" t="s">
        <v>107</v>
      </c>
      <c r="O44" s="90">
        <v>3</v>
      </c>
      <c r="P44" s="90" t="s">
        <v>113</v>
      </c>
      <c r="Q44" s="89" t="s">
        <v>111</v>
      </c>
      <c r="R44" s="92">
        <f t="shared" si="0"/>
        <v>3999000</v>
      </c>
      <c r="W44" s="18"/>
      <c r="Y44" s="10"/>
      <c r="Z44" s="10"/>
      <c r="AA44" s="10"/>
      <c r="AB44" s="10"/>
    </row>
    <row r="45" spans="1:28" ht="14.1" customHeight="1">
      <c r="A45" s="296"/>
      <c r="B45" s="296"/>
      <c r="C45" s="306"/>
      <c r="D45" s="306"/>
      <c r="E45" s="247"/>
      <c r="F45" s="247"/>
      <c r="G45" s="257"/>
      <c r="H45" s="266"/>
      <c r="I45" s="87"/>
      <c r="J45" s="88">
        <v>1364000</v>
      </c>
      <c r="K45" s="89" t="s">
        <v>107</v>
      </c>
      <c r="L45" s="89">
        <v>1</v>
      </c>
      <c r="M45" s="90" t="s">
        <v>112</v>
      </c>
      <c r="N45" s="89" t="s">
        <v>107</v>
      </c>
      <c r="O45" s="90">
        <v>9</v>
      </c>
      <c r="P45" s="90" t="s">
        <v>113</v>
      </c>
      <c r="Q45" s="89" t="s">
        <v>111</v>
      </c>
      <c r="R45" s="92">
        <f t="shared" ref="R45" si="5">J45*L45*O45</f>
        <v>12276000</v>
      </c>
      <c r="V45" s="15"/>
      <c r="W45" s="18"/>
      <c r="Y45" s="10"/>
      <c r="Z45" s="10"/>
      <c r="AA45" s="10"/>
      <c r="AB45" s="10"/>
    </row>
    <row r="46" spans="1:28" ht="14.1" customHeight="1">
      <c r="A46" s="296"/>
      <c r="B46" s="296"/>
      <c r="C46" s="306"/>
      <c r="D46" s="306"/>
      <c r="E46" s="247"/>
      <c r="F46" s="247"/>
      <c r="G46" s="257"/>
      <c r="H46" s="266"/>
      <c r="I46" s="87" t="s">
        <v>309</v>
      </c>
      <c r="J46" s="88">
        <v>1333000</v>
      </c>
      <c r="K46" s="89" t="s">
        <v>107</v>
      </c>
      <c r="L46" s="89">
        <v>1</v>
      </c>
      <c r="M46" s="90" t="s">
        <v>112</v>
      </c>
      <c r="N46" s="89" t="s">
        <v>107</v>
      </c>
      <c r="O46" s="90">
        <v>7</v>
      </c>
      <c r="P46" s="90" t="s">
        <v>113</v>
      </c>
      <c r="Q46" s="89" t="s">
        <v>111</v>
      </c>
      <c r="R46" s="92">
        <f t="shared" si="0"/>
        <v>9331000</v>
      </c>
      <c r="V46" s="15"/>
      <c r="W46" s="18"/>
      <c r="Y46" s="10"/>
      <c r="Z46" s="10"/>
      <c r="AA46" s="10"/>
      <c r="AB46" s="10"/>
    </row>
    <row r="47" spans="1:28" ht="14.1" customHeight="1">
      <c r="A47" s="296"/>
      <c r="B47" s="296"/>
      <c r="C47" s="306"/>
      <c r="D47" s="306"/>
      <c r="E47" s="247"/>
      <c r="F47" s="247"/>
      <c r="G47" s="257"/>
      <c r="H47" s="266"/>
      <c r="I47" s="87"/>
      <c r="J47" s="88">
        <v>1364000</v>
      </c>
      <c r="K47" s="89" t="s">
        <v>107</v>
      </c>
      <c r="L47" s="89">
        <v>1</v>
      </c>
      <c r="M47" s="90" t="s">
        <v>112</v>
      </c>
      <c r="N47" s="89" t="s">
        <v>107</v>
      </c>
      <c r="O47" s="90">
        <v>5</v>
      </c>
      <c r="P47" s="90" t="s">
        <v>113</v>
      </c>
      <c r="Q47" s="89" t="s">
        <v>111</v>
      </c>
      <c r="R47" s="92">
        <f t="shared" si="0"/>
        <v>6820000</v>
      </c>
      <c r="V47" s="82"/>
      <c r="W47" s="84"/>
      <c r="Y47" s="10"/>
      <c r="Z47" s="10"/>
      <c r="AA47" s="10"/>
      <c r="AB47" s="10"/>
    </row>
    <row r="48" spans="1:28" ht="14.1" customHeight="1">
      <c r="A48" s="296"/>
      <c r="B48" s="296"/>
      <c r="C48" s="306"/>
      <c r="D48" s="306"/>
      <c r="E48" s="247"/>
      <c r="F48" s="247"/>
      <c r="G48" s="257"/>
      <c r="H48" s="266"/>
      <c r="I48" s="87" t="s">
        <v>310</v>
      </c>
      <c r="J48" s="88">
        <v>1333000</v>
      </c>
      <c r="K48" s="89" t="s">
        <v>107</v>
      </c>
      <c r="L48" s="89">
        <v>1</v>
      </c>
      <c r="M48" s="90" t="s">
        <v>112</v>
      </c>
      <c r="N48" s="89" t="s">
        <v>107</v>
      </c>
      <c r="O48" s="90">
        <v>7</v>
      </c>
      <c r="P48" s="90" t="s">
        <v>113</v>
      </c>
      <c r="Q48" s="89" t="s">
        <v>111</v>
      </c>
      <c r="R48" s="92">
        <f t="shared" si="0"/>
        <v>9331000</v>
      </c>
      <c r="Y48" s="10"/>
      <c r="Z48" s="10"/>
      <c r="AA48" s="10"/>
      <c r="AB48" s="10"/>
    </row>
    <row r="49" spans="1:28" ht="14.1" customHeight="1">
      <c r="A49" s="296"/>
      <c r="B49" s="296"/>
      <c r="C49" s="306"/>
      <c r="D49" s="306"/>
      <c r="E49" s="247"/>
      <c r="F49" s="247"/>
      <c r="G49" s="257"/>
      <c r="H49" s="266"/>
      <c r="I49" s="87"/>
      <c r="J49" s="88">
        <v>1364000</v>
      </c>
      <c r="K49" s="89" t="s">
        <v>107</v>
      </c>
      <c r="L49" s="89">
        <v>1</v>
      </c>
      <c r="M49" s="90" t="s">
        <v>112</v>
      </c>
      <c r="N49" s="89" t="s">
        <v>107</v>
      </c>
      <c r="O49" s="90">
        <v>5</v>
      </c>
      <c r="P49" s="90" t="s">
        <v>113</v>
      </c>
      <c r="Q49" s="89" t="s">
        <v>111</v>
      </c>
      <c r="R49" s="92">
        <f t="shared" si="0"/>
        <v>6820000</v>
      </c>
      <c r="Y49" s="10"/>
      <c r="Z49" s="10"/>
      <c r="AA49" s="10"/>
      <c r="AB49" s="10"/>
    </row>
    <row r="50" spans="1:28" s="5" customFormat="1" ht="14.1" customHeight="1">
      <c r="A50" s="296"/>
      <c r="B50" s="296"/>
      <c r="C50" s="306"/>
      <c r="D50" s="306"/>
      <c r="E50" s="247"/>
      <c r="F50" s="247"/>
      <c r="G50" s="257"/>
      <c r="H50" s="266"/>
      <c r="I50" s="87" t="s">
        <v>119</v>
      </c>
      <c r="J50" s="88">
        <f>ROUND(SUM(R26:R49)/12,-1)</f>
        <v>22045670</v>
      </c>
      <c r="K50" s="90" t="s">
        <v>114</v>
      </c>
      <c r="L50" s="89">
        <v>100</v>
      </c>
      <c r="M50" s="90" t="s">
        <v>120</v>
      </c>
      <c r="N50" s="90" t="s">
        <v>114</v>
      </c>
      <c r="O50" s="90">
        <v>4</v>
      </c>
      <c r="P50" s="90" t="s">
        <v>121</v>
      </c>
      <c r="Q50" s="90" t="s">
        <v>116</v>
      </c>
      <c r="R50" s="92">
        <f>J50*L50%*O50</f>
        <v>88182680</v>
      </c>
      <c r="S50" s="85"/>
      <c r="T50" s="85"/>
      <c r="U50" s="85"/>
      <c r="V50" s="85"/>
      <c r="W50" s="85"/>
    </row>
    <row r="51" spans="1:28" s="5" customFormat="1" ht="14.1" customHeight="1">
      <c r="A51" s="296"/>
      <c r="B51" s="296"/>
      <c r="C51" s="306"/>
      <c r="D51" s="306"/>
      <c r="E51" s="247"/>
      <c r="F51" s="247"/>
      <c r="G51" s="257"/>
      <c r="H51" s="266"/>
      <c r="I51" s="87"/>
      <c r="J51" s="88"/>
      <c r="K51" s="90"/>
      <c r="L51" s="491"/>
      <c r="M51" s="491"/>
      <c r="N51" s="491"/>
      <c r="O51" s="90"/>
      <c r="P51" s="90"/>
      <c r="Q51" s="90"/>
      <c r="R51" s="92"/>
      <c r="S51" s="85"/>
      <c r="T51" s="85"/>
      <c r="U51" s="85"/>
      <c r="V51" s="85"/>
      <c r="W51" s="85"/>
    </row>
    <row r="52" spans="1:28" s="5" customFormat="1" ht="14.1" customHeight="1">
      <c r="A52" s="259"/>
      <c r="B52" s="259"/>
      <c r="C52" s="293"/>
      <c r="D52" s="293"/>
      <c r="E52" s="250"/>
      <c r="F52" s="250"/>
      <c r="G52" s="258"/>
      <c r="H52" s="267"/>
      <c r="I52" s="155"/>
      <c r="J52" s="156"/>
      <c r="K52" s="157"/>
      <c r="L52" s="157"/>
      <c r="M52" s="101"/>
      <c r="N52" s="157"/>
      <c r="O52" s="101"/>
      <c r="P52" s="101" t="s">
        <v>122</v>
      </c>
      <c r="Q52" s="157" t="s">
        <v>111</v>
      </c>
      <c r="R52" s="158">
        <f>SUM(R26:R51)</f>
        <v>352730680</v>
      </c>
      <c r="S52" s="81"/>
      <c r="T52" s="81"/>
      <c r="U52" s="81"/>
      <c r="V52" s="81"/>
      <c r="W52" s="81"/>
    </row>
    <row r="53" spans="1:28" s="5" customFormat="1" ht="16.5" customHeight="1">
      <c r="A53" s="212" t="s">
        <v>123</v>
      </c>
      <c r="B53" s="212"/>
      <c r="C53" s="297" t="s">
        <v>85</v>
      </c>
      <c r="D53" s="297"/>
      <c r="E53" s="298"/>
      <c r="F53" s="298"/>
      <c r="G53" s="299"/>
      <c r="H53" s="300"/>
      <c r="I53" s="159"/>
      <c r="J53" s="159"/>
      <c r="K53" s="159"/>
      <c r="L53" s="159"/>
      <c r="M53" s="159"/>
      <c r="N53" s="159"/>
      <c r="O53" s="159"/>
      <c r="P53" s="159"/>
      <c r="Q53" s="159"/>
      <c r="R53" s="160" t="s">
        <v>124</v>
      </c>
      <c r="S53" s="81"/>
      <c r="T53" s="81"/>
      <c r="U53" s="81"/>
      <c r="V53" s="81"/>
      <c r="W53" s="81"/>
    </row>
    <row r="54" spans="1:28" s="5" customFormat="1" ht="15" customHeight="1">
      <c r="A54" s="434" t="s">
        <v>125</v>
      </c>
      <c r="B54" s="434" t="s">
        <v>126</v>
      </c>
      <c r="C54" s="434" t="s">
        <v>127</v>
      </c>
      <c r="D54" s="434" t="s">
        <v>128</v>
      </c>
      <c r="E54" s="301" t="s">
        <v>269</v>
      </c>
      <c r="F54" s="301" t="s">
        <v>267</v>
      </c>
      <c r="G54" s="442" t="s">
        <v>129</v>
      </c>
      <c r="H54" s="443"/>
      <c r="I54" s="436" t="s">
        <v>130</v>
      </c>
      <c r="J54" s="437"/>
      <c r="K54" s="437"/>
      <c r="L54" s="437"/>
      <c r="M54" s="437"/>
      <c r="N54" s="437"/>
      <c r="O54" s="437"/>
      <c r="P54" s="437"/>
      <c r="Q54" s="437"/>
      <c r="R54" s="438"/>
      <c r="S54" s="81"/>
      <c r="T54" s="81"/>
      <c r="U54" s="81"/>
      <c r="V54" s="81"/>
      <c r="W54" s="81"/>
    </row>
    <row r="55" spans="1:28" s="5" customFormat="1" ht="15" customHeight="1">
      <c r="A55" s="435"/>
      <c r="B55" s="435"/>
      <c r="C55" s="435"/>
      <c r="D55" s="435"/>
      <c r="E55" s="301" t="s">
        <v>270</v>
      </c>
      <c r="F55" s="301" t="s">
        <v>268</v>
      </c>
      <c r="G55" s="140" t="s">
        <v>131</v>
      </c>
      <c r="H55" s="302" t="s">
        <v>132</v>
      </c>
      <c r="I55" s="439"/>
      <c r="J55" s="440"/>
      <c r="K55" s="440"/>
      <c r="L55" s="440"/>
      <c r="M55" s="440"/>
      <c r="N55" s="440"/>
      <c r="O55" s="440"/>
      <c r="P55" s="440"/>
      <c r="Q55" s="440"/>
      <c r="R55" s="441"/>
      <c r="S55" s="81"/>
      <c r="T55" s="81"/>
      <c r="U55" s="81"/>
      <c r="V55" s="81"/>
      <c r="W55" s="81"/>
    </row>
    <row r="56" spans="1:28" s="5" customFormat="1" ht="14.1" customHeight="1">
      <c r="A56" s="319"/>
      <c r="B56" s="319"/>
      <c r="C56" s="470" t="s">
        <v>133</v>
      </c>
      <c r="D56" s="255"/>
      <c r="E56" s="256">
        <v>60161</v>
      </c>
      <c r="F56" s="246">
        <f>(R67)/1000</f>
        <v>50510.18</v>
      </c>
      <c r="G56" s="485">
        <f>F56+F57-E56-E57</f>
        <v>14059.36</v>
      </c>
      <c r="H56" s="457">
        <f>G56/E56:E57</f>
        <v>0.23369558351756123</v>
      </c>
      <c r="I56" s="131" t="s">
        <v>134</v>
      </c>
      <c r="J56" s="88">
        <v>40000</v>
      </c>
      <c r="K56" s="89" t="s">
        <v>109</v>
      </c>
      <c r="L56" s="89">
        <v>6</v>
      </c>
      <c r="M56" s="90" t="s">
        <v>108</v>
      </c>
      <c r="N56" s="89" t="s">
        <v>109</v>
      </c>
      <c r="O56" s="90">
        <v>12</v>
      </c>
      <c r="P56" s="90" t="s">
        <v>110</v>
      </c>
      <c r="Q56" s="89" t="s">
        <v>135</v>
      </c>
      <c r="R56" s="92">
        <f t="shared" ref="R56:R57" si="6">J56*L56*O56</f>
        <v>2880000</v>
      </c>
      <c r="S56" s="81"/>
      <c r="T56" s="81"/>
      <c r="U56" s="81"/>
      <c r="V56" s="81"/>
      <c r="W56" s="81"/>
    </row>
    <row r="57" spans="1:28" s="5" customFormat="1" ht="14.1" customHeight="1">
      <c r="A57" s="319"/>
      <c r="B57" s="319"/>
      <c r="C57" s="448"/>
      <c r="D57" s="258"/>
      <c r="E57" s="256">
        <v>24584</v>
      </c>
      <c r="F57" s="246">
        <f>R68/1000</f>
        <v>48294.18</v>
      </c>
      <c r="G57" s="486"/>
      <c r="H57" s="459"/>
      <c r="I57" s="131"/>
      <c r="J57" s="88">
        <v>20000</v>
      </c>
      <c r="K57" s="89" t="s">
        <v>107</v>
      </c>
      <c r="L57" s="89">
        <v>12</v>
      </c>
      <c r="M57" s="90" t="s">
        <v>112</v>
      </c>
      <c r="N57" s="89" t="s">
        <v>107</v>
      </c>
      <c r="O57" s="90">
        <v>12</v>
      </c>
      <c r="P57" s="90" t="s">
        <v>113</v>
      </c>
      <c r="Q57" s="89" t="s">
        <v>111</v>
      </c>
      <c r="R57" s="92">
        <f t="shared" si="6"/>
        <v>2880000</v>
      </c>
      <c r="S57" s="81"/>
      <c r="T57" s="81"/>
      <c r="U57" s="81"/>
      <c r="V57" s="81"/>
      <c r="W57" s="81"/>
    </row>
    <row r="58" spans="1:28" s="5" customFormat="1" ht="14.1" customHeight="1">
      <c r="A58" s="296"/>
      <c r="B58" s="296"/>
      <c r="C58" s="251"/>
      <c r="D58" s="251"/>
      <c r="E58" s="251"/>
      <c r="F58" s="251"/>
      <c r="G58" s="251"/>
      <c r="H58" s="251"/>
      <c r="I58" s="132" t="s">
        <v>136</v>
      </c>
      <c r="J58" s="88">
        <f>ROUND(SUM(R26:R49)/12,-1)</f>
        <v>22045670</v>
      </c>
      <c r="K58" s="90" t="s">
        <v>114</v>
      </c>
      <c r="L58" s="89">
        <v>60</v>
      </c>
      <c r="M58" s="90" t="s">
        <v>120</v>
      </c>
      <c r="N58" s="90" t="s">
        <v>107</v>
      </c>
      <c r="O58" s="90">
        <v>2</v>
      </c>
      <c r="P58" s="90" t="s">
        <v>121</v>
      </c>
      <c r="Q58" s="89" t="s">
        <v>111</v>
      </c>
      <c r="R58" s="220">
        <f>J58*0.6*O58-66204</f>
        <v>26388600</v>
      </c>
      <c r="S58" s="81"/>
      <c r="T58" s="81"/>
      <c r="U58" s="81"/>
      <c r="V58" s="81"/>
      <c r="W58" s="81"/>
    </row>
    <row r="59" spans="1:28" s="5" customFormat="1" ht="14.1" customHeight="1">
      <c r="A59" s="296"/>
      <c r="B59" s="296"/>
      <c r="C59" s="257"/>
      <c r="D59" s="257"/>
      <c r="E59" s="247"/>
      <c r="F59" s="247"/>
      <c r="G59" s="252"/>
      <c r="H59" s="264"/>
      <c r="I59" s="131" t="s">
        <v>137</v>
      </c>
      <c r="J59" s="133">
        <v>100000</v>
      </c>
      <c r="K59" s="89" t="s">
        <v>107</v>
      </c>
      <c r="L59" s="89">
        <v>13</v>
      </c>
      <c r="M59" s="90" t="s">
        <v>112</v>
      </c>
      <c r="N59" s="89" t="s">
        <v>107</v>
      </c>
      <c r="O59" s="90">
        <v>12</v>
      </c>
      <c r="P59" s="90" t="s">
        <v>113</v>
      </c>
      <c r="Q59" s="89" t="s">
        <v>111</v>
      </c>
      <c r="R59" s="92">
        <f>J59*L59*O59</f>
        <v>15600000</v>
      </c>
      <c r="S59" s="81"/>
      <c r="T59" s="81"/>
      <c r="U59" s="81"/>
      <c r="V59" s="81"/>
      <c r="W59" s="81"/>
    </row>
    <row r="60" spans="1:28" s="5" customFormat="1" ht="14.1" customHeight="1">
      <c r="A60" s="296"/>
      <c r="B60" s="296"/>
      <c r="C60" s="257"/>
      <c r="D60" s="257"/>
      <c r="E60" s="247"/>
      <c r="F60" s="247"/>
      <c r="G60" s="252"/>
      <c r="H60" s="264"/>
      <c r="I60" s="131" t="s">
        <v>138</v>
      </c>
      <c r="J60" s="134">
        <v>300000</v>
      </c>
      <c r="K60" s="89" t="s">
        <v>107</v>
      </c>
      <c r="L60" s="89">
        <v>2</v>
      </c>
      <c r="M60" s="90" t="s">
        <v>112</v>
      </c>
      <c r="N60" s="89" t="s">
        <v>107</v>
      </c>
      <c r="O60" s="90">
        <v>12</v>
      </c>
      <c r="P60" s="90" t="s">
        <v>113</v>
      </c>
      <c r="Q60" s="89" t="s">
        <v>111</v>
      </c>
      <c r="R60" s="95">
        <f>J60*L60*O60</f>
        <v>7200000</v>
      </c>
      <c r="S60" s="81"/>
      <c r="T60" s="81"/>
      <c r="U60" s="6"/>
      <c r="V60" s="6"/>
      <c r="W60" s="7"/>
      <c r="X60" s="7"/>
      <c r="Y60" s="8"/>
    </row>
    <row r="61" spans="1:28" s="5" customFormat="1" ht="14.1" customHeight="1">
      <c r="A61" s="296"/>
      <c r="B61" s="296"/>
      <c r="C61" s="257"/>
      <c r="D61" s="257"/>
      <c r="E61" s="247"/>
      <c r="F61" s="247"/>
      <c r="G61" s="252"/>
      <c r="H61" s="264"/>
      <c r="I61" s="132" t="s">
        <v>139</v>
      </c>
      <c r="J61" s="94">
        <v>264360000</v>
      </c>
      <c r="K61" s="89" t="s">
        <v>107</v>
      </c>
      <c r="L61" s="487" t="s">
        <v>140</v>
      </c>
      <c r="M61" s="487"/>
      <c r="N61" s="487"/>
      <c r="O61" s="487"/>
      <c r="P61" s="487"/>
      <c r="Q61" s="89" t="s">
        <v>111</v>
      </c>
      <c r="R61" s="135">
        <f>J61*0.5/12</f>
        <v>11015000</v>
      </c>
      <c r="S61" s="81"/>
      <c r="T61" s="81"/>
      <c r="U61" s="6"/>
      <c r="V61" s="6"/>
      <c r="W61" s="7"/>
      <c r="X61" s="7"/>
      <c r="Y61" s="8"/>
    </row>
    <row r="62" spans="1:28" s="5" customFormat="1" ht="14.1" customHeight="1">
      <c r="A62" s="296"/>
      <c r="B62" s="296"/>
      <c r="C62" s="257"/>
      <c r="D62" s="257"/>
      <c r="E62" s="247"/>
      <c r="F62" s="247"/>
      <c r="G62" s="252"/>
      <c r="H62" s="264"/>
      <c r="I62" s="132" t="s">
        <v>141</v>
      </c>
      <c r="J62" s="94">
        <v>300000</v>
      </c>
      <c r="K62" s="89" t="s">
        <v>107</v>
      </c>
      <c r="L62" s="89">
        <v>13</v>
      </c>
      <c r="M62" s="90" t="s">
        <v>112</v>
      </c>
      <c r="N62" s="89" t="s">
        <v>107</v>
      </c>
      <c r="O62" s="90">
        <v>1</v>
      </c>
      <c r="P62" s="90" t="s">
        <v>115</v>
      </c>
      <c r="Q62" s="89" t="s">
        <v>111</v>
      </c>
      <c r="R62" s="95">
        <f>J62*L62*O62</f>
        <v>3900000</v>
      </c>
      <c r="S62" s="81"/>
      <c r="T62" s="81"/>
      <c r="U62" s="6"/>
      <c r="V62" s="6"/>
      <c r="W62" s="7"/>
      <c r="X62" s="7"/>
      <c r="Y62" s="136"/>
    </row>
    <row r="63" spans="1:28" s="5" customFormat="1" ht="14.1" customHeight="1">
      <c r="A63" s="296"/>
      <c r="B63" s="296"/>
      <c r="C63" s="257"/>
      <c r="D63" s="257"/>
      <c r="E63" s="247"/>
      <c r="F63" s="247"/>
      <c r="G63" s="252"/>
      <c r="H63" s="264"/>
      <c r="I63" s="132" t="s">
        <v>142</v>
      </c>
      <c r="J63" s="94">
        <v>300000</v>
      </c>
      <c r="K63" s="89" t="s">
        <v>107</v>
      </c>
      <c r="L63" s="89">
        <v>13</v>
      </c>
      <c r="M63" s="90" t="s">
        <v>112</v>
      </c>
      <c r="N63" s="89" t="s">
        <v>107</v>
      </c>
      <c r="O63" s="90">
        <v>1</v>
      </c>
      <c r="P63" s="90" t="s">
        <v>115</v>
      </c>
      <c r="Q63" s="89" t="s">
        <v>111</v>
      </c>
      <c r="R63" s="95">
        <f>J63*L63*O63</f>
        <v>3900000</v>
      </c>
      <c r="S63" s="81"/>
      <c r="T63" s="81"/>
      <c r="U63" s="6"/>
      <c r="V63" s="6"/>
      <c r="W63" s="7"/>
      <c r="X63" s="7"/>
      <c r="Y63" s="136"/>
    </row>
    <row r="64" spans="1:28" s="5" customFormat="1" ht="14.1" customHeight="1">
      <c r="A64" s="296"/>
      <c r="B64" s="296"/>
      <c r="C64" s="257"/>
      <c r="D64" s="257"/>
      <c r="E64" s="247"/>
      <c r="F64" s="247"/>
      <c r="G64" s="252"/>
      <c r="H64" s="264"/>
      <c r="I64" s="132" t="s">
        <v>143</v>
      </c>
      <c r="J64" s="94">
        <v>30000</v>
      </c>
      <c r="K64" s="89" t="s">
        <v>107</v>
      </c>
      <c r="L64" s="89">
        <v>1</v>
      </c>
      <c r="M64" s="90" t="s">
        <v>112</v>
      </c>
      <c r="N64" s="89" t="s">
        <v>107</v>
      </c>
      <c r="O64" s="90">
        <v>12</v>
      </c>
      <c r="P64" s="90" t="s">
        <v>113</v>
      </c>
      <c r="Q64" s="89" t="s">
        <v>111</v>
      </c>
      <c r="R64" s="95">
        <f>J64*L64*O64</f>
        <v>360000</v>
      </c>
      <c r="S64" s="81"/>
      <c r="T64" s="81"/>
      <c r="U64" s="6"/>
      <c r="V64" s="6"/>
      <c r="W64" s="7"/>
      <c r="X64" s="7"/>
      <c r="Y64" s="136"/>
    </row>
    <row r="65" spans="1:23" s="5" customFormat="1" ht="14.1" customHeight="1">
      <c r="A65" s="296"/>
      <c r="B65" s="296"/>
      <c r="C65" s="257"/>
      <c r="D65" s="257"/>
      <c r="E65" s="247"/>
      <c r="F65" s="247"/>
      <c r="G65" s="252"/>
      <c r="H65" s="264"/>
      <c r="I65" s="161" t="s">
        <v>144</v>
      </c>
      <c r="J65" s="232">
        <v>12170</v>
      </c>
      <c r="K65" s="233" t="s">
        <v>107</v>
      </c>
      <c r="L65" s="488" t="s">
        <v>264</v>
      </c>
      <c r="M65" s="488"/>
      <c r="N65" s="488"/>
      <c r="O65" s="488"/>
      <c r="P65" s="488"/>
      <c r="Q65" s="234" t="s">
        <v>116</v>
      </c>
      <c r="R65" s="188">
        <v>2761580</v>
      </c>
      <c r="S65" s="81"/>
      <c r="T65" s="81"/>
      <c r="U65" s="81"/>
      <c r="V65" s="81"/>
      <c r="W65" s="81"/>
    </row>
    <row r="66" spans="1:23" s="5" customFormat="1" ht="14.1" customHeight="1">
      <c r="A66" s="296"/>
      <c r="B66" s="296"/>
      <c r="C66" s="257"/>
      <c r="D66" s="257"/>
      <c r="E66" s="247"/>
      <c r="F66" s="247"/>
      <c r="G66" s="252"/>
      <c r="H66" s="264"/>
      <c r="I66" s="161"/>
      <c r="J66" s="228"/>
      <c r="K66" s="229"/>
      <c r="L66" s="231"/>
      <c r="M66" s="231"/>
      <c r="N66" s="231"/>
      <c r="O66" s="231"/>
      <c r="P66" s="231"/>
      <c r="Q66" s="230"/>
      <c r="R66" s="162">
        <v>21919180</v>
      </c>
      <c r="S66" s="81"/>
      <c r="T66" s="81"/>
      <c r="U66" s="81"/>
      <c r="V66" s="81"/>
      <c r="W66" s="81"/>
    </row>
    <row r="67" spans="1:23" s="5" customFormat="1" ht="14.1" customHeight="1">
      <c r="A67" s="296"/>
      <c r="B67" s="296"/>
      <c r="C67" s="257"/>
      <c r="D67" s="257"/>
      <c r="E67" s="247"/>
      <c r="F67" s="247"/>
      <c r="G67" s="252"/>
      <c r="H67" s="264"/>
      <c r="I67" s="90"/>
      <c r="J67" s="96"/>
      <c r="K67" s="90"/>
      <c r="L67" s="89"/>
      <c r="M67" s="90"/>
      <c r="N67" s="90"/>
      <c r="O67" s="90"/>
      <c r="P67" s="90" t="s">
        <v>122</v>
      </c>
      <c r="Q67" s="90" t="s">
        <v>111</v>
      </c>
      <c r="R67" s="92">
        <f>SUM(R56:R59)+R65</f>
        <v>50510180</v>
      </c>
      <c r="S67" s="81"/>
      <c r="T67" s="81"/>
      <c r="U67" s="81"/>
      <c r="V67" s="81"/>
      <c r="W67" s="81"/>
    </row>
    <row r="68" spans="1:23" s="5" customFormat="1" ht="14.1" customHeight="1">
      <c r="A68" s="296"/>
      <c r="B68" s="296"/>
      <c r="C68" s="259"/>
      <c r="D68" s="258"/>
      <c r="E68" s="250"/>
      <c r="F68" s="250"/>
      <c r="G68" s="253"/>
      <c r="H68" s="254"/>
      <c r="I68" s="101"/>
      <c r="J68" s="156"/>
      <c r="K68" s="157"/>
      <c r="L68" s="157"/>
      <c r="M68" s="101"/>
      <c r="N68" s="157"/>
      <c r="O68" s="101"/>
      <c r="P68" s="101"/>
      <c r="Q68" s="157"/>
      <c r="R68" s="104">
        <f>SUM(R60:R64)+R66</f>
        <v>48294180</v>
      </c>
      <c r="S68" s="81"/>
      <c r="T68" s="81"/>
      <c r="U68" s="81"/>
      <c r="V68" s="81"/>
      <c r="W68" s="81"/>
    </row>
    <row r="69" spans="1:23" s="5" customFormat="1" ht="14.1" customHeight="1">
      <c r="A69" s="296"/>
      <c r="B69" s="296"/>
      <c r="C69" s="422" t="s">
        <v>145</v>
      </c>
      <c r="D69" s="470"/>
      <c r="E69" s="489">
        <v>0</v>
      </c>
      <c r="F69" s="489">
        <v>0</v>
      </c>
      <c r="G69" s="490">
        <f>F69+F71-E69-E71</f>
        <v>173</v>
      </c>
      <c r="H69" s="484">
        <f>G69/E71</f>
        <v>5.394449641409417E-2</v>
      </c>
      <c r="I69" s="90" t="s">
        <v>146</v>
      </c>
      <c r="J69" s="94">
        <v>15000</v>
      </c>
      <c r="K69" s="90" t="s">
        <v>114</v>
      </c>
      <c r="L69" s="89">
        <v>13</v>
      </c>
      <c r="M69" s="90" t="s">
        <v>118</v>
      </c>
      <c r="N69" s="90" t="s">
        <v>114</v>
      </c>
      <c r="O69" s="90">
        <v>12</v>
      </c>
      <c r="P69" s="90" t="s">
        <v>115</v>
      </c>
      <c r="Q69" s="90" t="s">
        <v>116</v>
      </c>
      <c r="R69" s="95">
        <f>J69*L69*O69</f>
        <v>2340000</v>
      </c>
      <c r="S69" s="81"/>
      <c r="T69" s="81"/>
      <c r="U69" s="81"/>
      <c r="V69" s="81"/>
      <c r="W69" s="81"/>
    </row>
    <row r="70" spans="1:23" s="5" customFormat="1" ht="14.1" customHeight="1">
      <c r="A70" s="257"/>
      <c r="B70" s="257"/>
      <c r="C70" s="431"/>
      <c r="D70" s="462"/>
      <c r="E70" s="489"/>
      <c r="F70" s="489"/>
      <c r="G70" s="490"/>
      <c r="H70" s="484"/>
      <c r="I70" s="96" t="s">
        <v>147</v>
      </c>
      <c r="J70" s="97">
        <v>40000</v>
      </c>
      <c r="K70" s="90" t="s">
        <v>107</v>
      </c>
      <c r="L70" s="98">
        <v>13</v>
      </c>
      <c r="M70" s="90" t="s">
        <v>112</v>
      </c>
      <c r="N70" s="90" t="s">
        <v>107</v>
      </c>
      <c r="O70" s="90">
        <v>2</v>
      </c>
      <c r="P70" s="90" t="s">
        <v>121</v>
      </c>
      <c r="Q70" s="96" t="s">
        <v>116</v>
      </c>
      <c r="R70" s="95">
        <f>J70*L70*O70</f>
        <v>1040000</v>
      </c>
      <c r="S70" s="81"/>
      <c r="T70" s="81"/>
      <c r="U70" s="81"/>
      <c r="V70" s="81"/>
      <c r="W70" s="81"/>
    </row>
    <row r="71" spans="1:23" s="5" customFormat="1" ht="24" customHeight="1">
      <c r="A71" s="257"/>
      <c r="B71" s="257"/>
      <c r="C71" s="423"/>
      <c r="D71" s="448"/>
      <c r="E71" s="256">
        <v>3207</v>
      </c>
      <c r="F71" s="256">
        <f>R71/1000</f>
        <v>3380</v>
      </c>
      <c r="G71" s="490"/>
      <c r="H71" s="484"/>
      <c r="I71" s="99"/>
      <c r="J71" s="100"/>
      <c r="K71" s="101"/>
      <c r="L71" s="102"/>
      <c r="M71" s="101"/>
      <c r="N71" s="101"/>
      <c r="O71" s="101"/>
      <c r="P71" s="103" t="s">
        <v>148</v>
      </c>
      <c r="Q71" s="103" t="s">
        <v>3</v>
      </c>
      <c r="R71" s="104">
        <f>SUM(R69:R70)</f>
        <v>3380000</v>
      </c>
      <c r="S71" s="81"/>
      <c r="T71" s="81"/>
      <c r="U71" s="81"/>
      <c r="V71" s="81"/>
      <c r="W71" s="81"/>
    </row>
    <row r="72" spans="1:23" s="5" customFormat="1" ht="14.1" customHeight="1">
      <c r="A72" s="296"/>
      <c r="B72" s="296"/>
      <c r="C72" s="431" t="s">
        <v>149</v>
      </c>
      <c r="D72" s="462"/>
      <c r="E72" s="418">
        <v>42046</v>
      </c>
      <c r="F72" s="418">
        <f>R74/1000</f>
        <v>33373.269999999997</v>
      </c>
      <c r="G72" s="452">
        <f>F72+F74-E72-E74</f>
        <v>-6464.0800000000017</v>
      </c>
      <c r="H72" s="453">
        <f>G72/E72:E75</f>
        <v>-0.15373828663844366</v>
      </c>
      <c r="I72" s="96" t="s">
        <v>150</v>
      </c>
      <c r="J72" s="107">
        <f>R67+R52-R65</f>
        <v>400479280</v>
      </c>
      <c r="K72" s="90" t="s">
        <v>151</v>
      </c>
      <c r="L72" s="137" t="s">
        <v>152</v>
      </c>
      <c r="M72" s="137"/>
      <c r="N72" s="137"/>
      <c r="O72" s="137"/>
      <c r="P72" s="137"/>
      <c r="Q72" s="90" t="s">
        <v>153</v>
      </c>
      <c r="R72" s="92">
        <f>ROUND(J72/12,-1)</f>
        <v>33373270</v>
      </c>
      <c r="S72" s="81"/>
      <c r="T72" s="81"/>
      <c r="U72" s="81"/>
      <c r="V72" s="81"/>
      <c r="W72" s="81"/>
    </row>
    <row r="73" spans="1:23" s="5" customFormat="1" ht="19.5" customHeight="1">
      <c r="A73" s="257"/>
      <c r="B73" s="257"/>
      <c r="C73" s="431"/>
      <c r="D73" s="462"/>
      <c r="E73" s="420"/>
      <c r="F73" s="420"/>
      <c r="G73" s="452"/>
      <c r="H73" s="453"/>
      <c r="I73" s="96"/>
      <c r="J73" s="134">
        <f>R68+R65</f>
        <v>51055760</v>
      </c>
      <c r="K73" s="240" t="s">
        <v>151</v>
      </c>
      <c r="L73" s="89" t="s">
        <v>152</v>
      </c>
      <c r="M73" s="240"/>
      <c r="N73" s="240"/>
      <c r="O73" s="240"/>
      <c r="P73" s="240"/>
      <c r="Q73" s="96" t="s">
        <v>153</v>
      </c>
      <c r="R73" s="95">
        <f>ROUND(J73/12,-1)</f>
        <v>4254650</v>
      </c>
      <c r="S73" s="81"/>
      <c r="T73" s="81"/>
      <c r="U73" s="81"/>
      <c r="V73" s="81"/>
      <c r="W73" s="81"/>
    </row>
    <row r="74" spans="1:23" s="5" customFormat="1" ht="18" customHeight="1">
      <c r="A74" s="257"/>
      <c r="B74" s="257"/>
      <c r="C74" s="431"/>
      <c r="D74" s="462"/>
      <c r="E74" s="418">
        <v>2046</v>
      </c>
      <c r="F74" s="418">
        <f>R75/1000</f>
        <v>4254.6499999999996</v>
      </c>
      <c r="G74" s="452"/>
      <c r="H74" s="453"/>
      <c r="I74" s="96"/>
      <c r="J74" s="97"/>
      <c r="K74" s="96"/>
      <c r="L74" s="138"/>
      <c r="M74" s="138"/>
      <c r="N74" s="138"/>
      <c r="O74" s="138"/>
      <c r="P74" s="138" t="s">
        <v>154</v>
      </c>
      <c r="Q74" s="96" t="s">
        <v>153</v>
      </c>
      <c r="R74" s="139">
        <f>SUM(R72)</f>
        <v>33373270</v>
      </c>
      <c r="S74" s="81"/>
      <c r="T74" s="81"/>
      <c r="U74" s="81"/>
      <c r="V74" s="81"/>
      <c r="W74" s="81"/>
    </row>
    <row r="75" spans="1:23" s="5" customFormat="1" ht="24.75" customHeight="1">
      <c r="A75" s="258"/>
      <c r="B75" s="258"/>
      <c r="C75" s="423"/>
      <c r="D75" s="448"/>
      <c r="E75" s="420"/>
      <c r="F75" s="420"/>
      <c r="G75" s="445"/>
      <c r="H75" s="447"/>
      <c r="I75" s="140"/>
      <c r="J75" s="141"/>
      <c r="K75" s="141"/>
      <c r="L75" s="141"/>
      <c r="M75" s="141"/>
      <c r="N75" s="141"/>
      <c r="O75" s="142"/>
      <c r="P75" s="142"/>
      <c r="Q75" s="142"/>
      <c r="R75" s="143">
        <f>R73</f>
        <v>4254650</v>
      </c>
      <c r="S75" s="81"/>
      <c r="T75" s="81"/>
      <c r="U75" s="81"/>
      <c r="V75" s="81"/>
      <c r="W75" s="81"/>
    </row>
    <row r="76" spans="1:23" ht="16.5" customHeight="1">
      <c r="A76" s="212" t="s">
        <v>155</v>
      </c>
      <c r="B76" s="212"/>
      <c r="C76" s="297" t="s">
        <v>156</v>
      </c>
      <c r="D76" s="297"/>
      <c r="E76" s="298"/>
      <c r="F76" s="298"/>
      <c r="G76" s="299"/>
      <c r="H76" s="300"/>
      <c r="I76" s="159"/>
      <c r="J76" s="159"/>
      <c r="K76" s="159"/>
      <c r="L76" s="159"/>
      <c r="M76" s="159"/>
      <c r="N76" s="159"/>
      <c r="O76" s="159"/>
      <c r="P76" s="159"/>
      <c r="Q76" s="159"/>
      <c r="R76" s="160" t="s">
        <v>71</v>
      </c>
    </row>
    <row r="77" spans="1:23" ht="21" customHeight="1">
      <c r="A77" s="434" t="s">
        <v>72</v>
      </c>
      <c r="B77" s="434" t="s">
        <v>73</v>
      </c>
      <c r="C77" s="434" t="s">
        <v>74</v>
      </c>
      <c r="D77" s="434" t="s">
        <v>75</v>
      </c>
      <c r="E77" s="301" t="s">
        <v>269</v>
      </c>
      <c r="F77" s="301" t="s">
        <v>267</v>
      </c>
      <c r="G77" s="442" t="s">
        <v>78</v>
      </c>
      <c r="H77" s="443"/>
      <c r="I77" s="436" t="s">
        <v>79</v>
      </c>
      <c r="J77" s="437"/>
      <c r="K77" s="437"/>
      <c r="L77" s="437"/>
      <c r="M77" s="437"/>
      <c r="N77" s="437"/>
      <c r="O77" s="437"/>
      <c r="P77" s="437"/>
      <c r="Q77" s="437"/>
      <c r="R77" s="438"/>
    </row>
    <row r="78" spans="1:23" ht="21" customHeight="1">
      <c r="A78" s="435"/>
      <c r="B78" s="435"/>
      <c r="C78" s="435"/>
      <c r="D78" s="435"/>
      <c r="E78" s="318" t="s">
        <v>270</v>
      </c>
      <c r="F78" s="318" t="s">
        <v>268</v>
      </c>
      <c r="G78" s="140" t="s">
        <v>82</v>
      </c>
      <c r="H78" s="302" t="s">
        <v>83</v>
      </c>
      <c r="I78" s="439"/>
      <c r="J78" s="440"/>
      <c r="K78" s="440"/>
      <c r="L78" s="440"/>
      <c r="M78" s="440"/>
      <c r="N78" s="440"/>
      <c r="O78" s="440"/>
      <c r="P78" s="440"/>
      <c r="Q78" s="440"/>
      <c r="R78" s="441"/>
    </row>
    <row r="79" spans="1:23" s="5" customFormat="1" ht="14.1" customHeight="1">
      <c r="A79" s="470"/>
      <c r="B79" s="290"/>
      <c r="C79" s="422" t="s">
        <v>157</v>
      </c>
      <c r="D79" s="278"/>
      <c r="E79" s="418">
        <v>37363</v>
      </c>
      <c r="F79" s="418">
        <f>R88/1000</f>
        <v>39999.870000000003</v>
      </c>
      <c r="G79" s="444">
        <f>F79+F81-E79-E81</f>
        <v>5844.3100000000049</v>
      </c>
      <c r="H79" s="446">
        <f>G79/E79:E82</f>
        <v>0.15641972004389382</v>
      </c>
      <c r="I79" s="110" t="s">
        <v>158</v>
      </c>
      <c r="J79" s="111">
        <f>J72</f>
        <v>400479280</v>
      </c>
      <c r="K79" s="110" t="s">
        <v>159</v>
      </c>
      <c r="L79" s="112" t="s">
        <v>160</v>
      </c>
      <c r="M79" s="113" t="s">
        <v>159</v>
      </c>
      <c r="N79" s="113"/>
      <c r="O79" s="113"/>
      <c r="P79" s="114"/>
      <c r="Q79" s="115" t="s">
        <v>161</v>
      </c>
      <c r="R79" s="116">
        <f>ROUND(J79*3.125%,-1)</f>
        <v>12514980</v>
      </c>
      <c r="S79" s="86"/>
      <c r="T79" s="81"/>
      <c r="U79" s="81"/>
      <c r="V79" s="81"/>
      <c r="W79" s="81"/>
    </row>
    <row r="80" spans="1:23" s="5" customFormat="1" ht="14.1" customHeight="1">
      <c r="A80" s="462"/>
      <c r="B80" s="291"/>
      <c r="C80" s="431"/>
      <c r="D80" s="431"/>
      <c r="E80" s="420"/>
      <c r="F80" s="420"/>
      <c r="G80" s="452"/>
      <c r="H80" s="453"/>
      <c r="I80" s="96" t="s">
        <v>162</v>
      </c>
      <c r="J80" s="107">
        <f>J79</f>
        <v>400479280</v>
      </c>
      <c r="K80" s="96" t="s">
        <v>159</v>
      </c>
      <c r="L80" s="117" t="s">
        <v>163</v>
      </c>
      <c r="M80" s="117" t="s">
        <v>159</v>
      </c>
      <c r="N80" s="117"/>
      <c r="O80" s="117"/>
      <c r="P80" s="118"/>
      <c r="Q80" s="96" t="s">
        <v>161</v>
      </c>
      <c r="R80" s="119">
        <f>ROUND(J80*4.5%,-1)</f>
        <v>18021570</v>
      </c>
      <c r="S80" s="81"/>
      <c r="T80" s="81"/>
      <c r="U80" s="81"/>
      <c r="V80" s="81"/>
      <c r="W80" s="81"/>
    </row>
    <row r="81" spans="1:26" s="5" customFormat="1" ht="14.1" customHeight="1">
      <c r="A81" s="462"/>
      <c r="B81" s="291"/>
      <c r="C81" s="431"/>
      <c r="D81" s="431"/>
      <c r="E81" s="418">
        <v>1892</v>
      </c>
      <c r="F81" s="418">
        <f>R89/1000</f>
        <v>5099.4399999999996</v>
      </c>
      <c r="G81" s="452"/>
      <c r="H81" s="453"/>
      <c r="I81" s="96" t="s">
        <v>164</v>
      </c>
      <c r="J81" s="107">
        <f>J79</f>
        <v>400479280</v>
      </c>
      <c r="K81" s="96" t="s">
        <v>20</v>
      </c>
      <c r="L81" s="117" t="s">
        <v>16</v>
      </c>
      <c r="M81" s="117" t="s">
        <v>20</v>
      </c>
      <c r="N81" s="117"/>
      <c r="O81" s="117"/>
      <c r="P81" s="118"/>
      <c r="Q81" s="96" t="s">
        <v>4</v>
      </c>
      <c r="R81" s="119">
        <f>ROUND(J81*L81,-1)</f>
        <v>5206230</v>
      </c>
      <c r="S81" s="81"/>
      <c r="T81" s="81"/>
      <c r="U81" s="81"/>
      <c r="V81" s="81"/>
      <c r="W81" s="81"/>
    </row>
    <row r="82" spans="1:26" s="5" customFormat="1" ht="14.1" customHeight="1">
      <c r="A82" s="462"/>
      <c r="B82" s="291"/>
      <c r="C82" s="423"/>
      <c r="D82" s="279"/>
      <c r="E82" s="420"/>
      <c r="F82" s="420"/>
      <c r="G82" s="445"/>
      <c r="H82" s="447"/>
      <c r="I82" s="96" t="s">
        <v>165</v>
      </c>
      <c r="J82" s="107">
        <f>J79</f>
        <v>400479280</v>
      </c>
      <c r="K82" s="96" t="s">
        <v>20</v>
      </c>
      <c r="L82" s="117" t="s">
        <v>166</v>
      </c>
      <c r="M82" s="117" t="s">
        <v>20</v>
      </c>
      <c r="N82" s="117"/>
      <c r="O82" s="117"/>
      <c r="P82" s="118"/>
      <c r="Q82" s="96" t="s">
        <v>4</v>
      </c>
      <c r="R82" s="119">
        <f>ROUND(J82*1.063%,-1)</f>
        <v>4257090</v>
      </c>
      <c r="S82" s="81"/>
      <c r="T82" s="81"/>
      <c r="U82" s="81"/>
      <c r="V82" s="81"/>
      <c r="W82" s="81"/>
    </row>
    <row r="83" spans="1:26" s="5" customFormat="1" ht="14.1" customHeight="1">
      <c r="A83" s="462"/>
      <c r="B83" s="291"/>
      <c r="C83" s="278"/>
      <c r="D83" s="278"/>
      <c r="E83" s="275"/>
      <c r="F83" s="275"/>
      <c r="G83" s="281"/>
      <c r="H83" s="283"/>
      <c r="I83" s="96"/>
      <c r="J83" s="107"/>
      <c r="K83" s="96"/>
      <c r="L83" s="117"/>
      <c r="M83" s="117"/>
      <c r="N83" s="117"/>
      <c r="O83" s="117"/>
      <c r="P83" s="118"/>
      <c r="Q83" s="96"/>
      <c r="R83" s="108"/>
      <c r="S83" s="81"/>
      <c r="T83" s="81"/>
      <c r="U83" s="81"/>
      <c r="V83" s="81"/>
      <c r="W83" s="81"/>
    </row>
    <row r="84" spans="1:26" s="5" customFormat="1" ht="14.1" customHeight="1">
      <c r="A84" s="462"/>
      <c r="B84" s="291"/>
      <c r="C84" s="261"/>
      <c r="D84" s="279"/>
      <c r="E84" s="247"/>
      <c r="F84" s="247"/>
      <c r="G84" s="286"/>
      <c r="H84" s="287"/>
      <c r="I84" s="120" t="s">
        <v>5</v>
      </c>
      <c r="J84" s="97">
        <f>J73</f>
        <v>51055760</v>
      </c>
      <c r="K84" s="96" t="s">
        <v>159</v>
      </c>
      <c r="L84" s="121" t="s">
        <v>160</v>
      </c>
      <c r="M84" s="117" t="s">
        <v>159</v>
      </c>
      <c r="N84" s="117"/>
      <c r="O84" s="117"/>
      <c r="P84" s="118"/>
      <c r="Q84" s="122" t="s">
        <v>161</v>
      </c>
      <c r="R84" s="123">
        <f>ROUND(J84*3.125%,-1)</f>
        <v>1595490</v>
      </c>
      <c r="S84" s="86"/>
      <c r="T84" s="81"/>
      <c r="U84" s="81"/>
      <c r="V84" s="81"/>
      <c r="W84" s="81"/>
    </row>
    <row r="85" spans="1:26" s="5" customFormat="1" ht="14.1" customHeight="1">
      <c r="A85" s="462"/>
      <c r="B85" s="291"/>
      <c r="C85" s="261"/>
      <c r="D85" s="279"/>
      <c r="E85" s="247"/>
      <c r="F85" s="247"/>
      <c r="G85" s="286"/>
      <c r="H85" s="287"/>
      <c r="I85" s="96" t="s">
        <v>6</v>
      </c>
      <c r="J85" s="97">
        <f>J84</f>
        <v>51055760</v>
      </c>
      <c r="K85" s="96" t="s">
        <v>159</v>
      </c>
      <c r="L85" s="117" t="s">
        <v>163</v>
      </c>
      <c r="M85" s="117" t="s">
        <v>159</v>
      </c>
      <c r="N85" s="117"/>
      <c r="O85" s="117"/>
      <c r="P85" s="118"/>
      <c r="Q85" s="96" t="s">
        <v>161</v>
      </c>
      <c r="R85" s="123">
        <f>ROUND(J85*4.5%,-1)</f>
        <v>2297510</v>
      </c>
      <c r="S85" s="81"/>
      <c r="T85" s="81"/>
      <c r="U85" s="81"/>
      <c r="V85" s="81"/>
      <c r="W85" s="81"/>
    </row>
    <row r="86" spans="1:26" s="5" customFormat="1" ht="14.1" customHeight="1">
      <c r="A86" s="462"/>
      <c r="B86" s="291"/>
      <c r="C86" s="261"/>
      <c r="D86" s="279"/>
      <c r="E86" s="247"/>
      <c r="F86" s="247"/>
      <c r="G86" s="286"/>
      <c r="H86" s="287"/>
      <c r="I86" s="96" t="s">
        <v>7</v>
      </c>
      <c r="J86" s="97">
        <f>J84</f>
        <v>51055760</v>
      </c>
      <c r="K86" s="96" t="s">
        <v>159</v>
      </c>
      <c r="L86" s="117" t="s">
        <v>167</v>
      </c>
      <c r="M86" s="117" t="s">
        <v>159</v>
      </c>
      <c r="N86" s="117"/>
      <c r="O86" s="117"/>
      <c r="P86" s="118"/>
      <c r="Q86" s="96" t="s">
        <v>161</v>
      </c>
      <c r="R86" s="123">
        <f>ROUND(J86*1.3%,-1)</f>
        <v>663720</v>
      </c>
      <c r="S86" s="474"/>
      <c r="T86" s="475"/>
      <c r="U86" s="475"/>
      <c r="V86" s="475"/>
      <c r="W86" s="475"/>
      <c r="X86" s="475"/>
      <c r="Y86" s="475"/>
      <c r="Z86" s="475"/>
    </row>
    <row r="87" spans="1:26" s="5" customFormat="1" ht="14.1" customHeight="1">
      <c r="A87" s="462"/>
      <c r="B87" s="291"/>
      <c r="C87" s="261"/>
      <c r="D87" s="279"/>
      <c r="E87" s="247"/>
      <c r="F87" s="247"/>
      <c r="G87" s="286"/>
      <c r="H87" s="287"/>
      <c r="I87" s="96" t="s">
        <v>8</v>
      </c>
      <c r="J87" s="97">
        <f>J84</f>
        <v>51055760</v>
      </c>
      <c r="K87" s="96" t="s">
        <v>159</v>
      </c>
      <c r="L87" s="117" t="s">
        <v>168</v>
      </c>
      <c r="M87" s="117" t="s">
        <v>159</v>
      </c>
      <c r="N87" s="117"/>
      <c r="O87" s="117"/>
      <c r="P87" s="118"/>
      <c r="Q87" s="96" t="s">
        <v>161</v>
      </c>
      <c r="R87" s="123">
        <f>ROUND(J87*1.063%,-1)</f>
        <v>542720</v>
      </c>
      <c r="S87" s="474"/>
      <c r="T87" s="475"/>
      <c r="U87" s="475"/>
      <c r="V87" s="475"/>
      <c r="W87" s="475"/>
      <c r="X87" s="475"/>
      <c r="Y87" s="475"/>
      <c r="Z87" s="475"/>
    </row>
    <row r="88" spans="1:26" s="5" customFormat="1" ht="14.1" customHeight="1">
      <c r="A88" s="462"/>
      <c r="B88" s="291"/>
      <c r="C88" s="261"/>
      <c r="D88" s="279"/>
      <c r="E88" s="247"/>
      <c r="F88" s="247"/>
      <c r="G88" s="286"/>
      <c r="H88" s="287"/>
      <c r="I88" s="96"/>
      <c r="J88" s="97"/>
      <c r="K88" s="96"/>
      <c r="L88" s="124"/>
      <c r="M88" s="124"/>
      <c r="N88" s="124"/>
      <c r="O88" s="124"/>
      <c r="P88" s="125" t="s">
        <v>154</v>
      </c>
      <c r="Q88" s="96" t="s">
        <v>153</v>
      </c>
      <c r="R88" s="119">
        <f>SUM(R79:R82)</f>
        <v>39999870</v>
      </c>
      <c r="S88" s="81"/>
      <c r="T88" s="81"/>
      <c r="U88" s="81"/>
      <c r="V88" s="81"/>
      <c r="W88" s="81"/>
    </row>
    <row r="89" spans="1:26" s="5" customFormat="1" ht="14.1" customHeight="1">
      <c r="A89" s="462"/>
      <c r="B89" s="259"/>
      <c r="C89" s="262"/>
      <c r="D89" s="280"/>
      <c r="E89" s="250"/>
      <c r="F89" s="250"/>
      <c r="G89" s="282"/>
      <c r="H89" s="284"/>
      <c r="I89" s="99"/>
      <c r="J89" s="126"/>
      <c r="K89" s="99"/>
      <c r="L89" s="127"/>
      <c r="M89" s="127"/>
      <c r="N89" s="127"/>
      <c r="O89" s="128"/>
      <c r="P89" s="129"/>
      <c r="Q89" s="129"/>
      <c r="R89" s="130">
        <f>SUM(R84:R87)</f>
        <v>5099440</v>
      </c>
      <c r="S89" s="81"/>
      <c r="T89" s="81"/>
      <c r="U89" s="81"/>
      <c r="V89" s="81"/>
      <c r="W89" s="81"/>
    </row>
    <row r="90" spans="1:26" s="5" customFormat="1" ht="16.5" customHeight="1">
      <c r="A90" s="462"/>
      <c r="B90" s="431" t="s">
        <v>169</v>
      </c>
      <c r="C90" s="306"/>
      <c r="D90" s="308"/>
      <c r="E90" s="247">
        <v>0</v>
      </c>
      <c r="F90" s="247">
        <f>F92+F94</f>
        <v>0</v>
      </c>
      <c r="G90" s="476">
        <f>F90+F91-E90-E91</f>
        <v>240</v>
      </c>
      <c r="H90" s="458">
        <f>G90/E91</f>
        <v>7.1428571428571425E-2</v>
      </c>
      <c r="I90" s="120"/>
      <c r="J90" s="107"/>
      <c r="K90" s="96"/>
      <c r="L90" s="96"/>
      <c r="M90" s="96"/>
      <c r="N90" s="96"/>
      <c r="O90" s="96"/>
      <c r="P90" s="96"/>
      <c r="Q90" s="96"/>
      <c r="R90" s="211"/>
      <c r="S90" s="81"/>
      <c r="T90" s="81"/>
      <c r="U90" s="81"/>
      <c r="V90" s="81"/>
      <c r="W90" s="81"/>
    </row>
    <row r="91" spans="1:26" s="5" customFormat="1" ht="16.5" customHeight="1">
      <c r="A91" s="462"/>
      <c r="B91" s="448"/>
      <c r="C91" s="293"/>
      <c r="D91" s="310"/>
      <c r="E91" s="246">
        <f>+E93+E95+E101+1600</f>
        <v>3360</v>
      </c>
      <c r="F91" s="246">
        <f>+F93+F95+F101</f>
        <v>3600</v>
      </c>
      <c r="G91" s="477"/>
      <c r="H91" s="459"/>
      <c r="I91" s="99"/>
      <c r="J91" s="178"/>
      <c r="K91" s="99"/>
      <c r="L91" s="99"/>
      <c r="M91" s="99"/>
      <c r="N91" s="99"/>
      <c r="O91" s="99"/>
      <c r="P91" s="99"/>
      <c r="Q91" s="99"/>
      <c r="R91" s="109">
        <f>R93+R99+R102</f>
        <v>3600000</v>
      </c>
      <c r="S91" s="81"/>
      <c r="T91" s="81"/>
      <c r="U91" s="81"/>
      <c r="V91" s="81"/>
      <c r="W91" s="81"/>
    </row>
    <row r="92" spans="1:26" s="5" customFormat="1" ht="16.5" customHeight="1">
      <c r="A92" s="462"/>
      <c r="B92" s="96"/>
      <c r="C92" s="422" t="s">
        <v>170</v>
      </c>
      <c r="D92" s="278"/>
      <c r="E92" s="263">
        <v>0</v>
      </c>
      <c r="F92" s="263">
        <v>0</v>
      </c>
      <c r="G92" s="478">
        <f>F92+F93-E92-E93</f>
        <v>-240</v>
      </c>
      <c r="H92" s="457">
        <f>G92/E93</f>
        <v>-0.66666666666666663</v>
      </c>
      <c r="I92" s="96" t="s">
        <v>171</v>
      </c>
      <c r="J92" s="97">
        <v>10000</v>
      </c>
      <c r="K92" s="96" t="s">
        <v>151</v>
      </c>
      <c r="L92" s="96">
        <v>12</v>
      </c>
      <c r="M92" s="96" t="s">
        <v>172</v>
      </c>
      <c r="N92" s="96"/>
      <c r="O92" s="96"/>
      <c r="P92" s="96"/>
      <c r="Q92" s="96" t="s">
        <v>153</v>
      </c>
      <c r="R92" s="106">
        <v>120000</v>
      </c>
      <c r="S92" s="81"/>
      <c r="T92" s="81"/>
      <c r="U92" s="81"/>
      <c r="V92" s="81"/>
      <c r="W92" s="81"/>
    </row>
    <row r="93" spans="1:26" s="5" customFormat="1" ht="16.5" customHeight="1">
      <c r="A93" s="462"/>
      <c r="B93" s="296"/>
      <c r="C93" s="448"/>
      <c r="D93" s="289"/>
      <c r="E93" s="246">
        <v>360</v>
      </c>
      <c r="F93" s="246">
        <f>R93/1000</f>
        <v>120</v>
      </c>
      <c r="G93" s="477"/>
      <c r="H93" s="459"/>
      <c r="I93" s="99"/>
      <c r="J93" s="178"/>
      <c r="K93" s="99"/>
      <c r="L93" s="99"/>
      <c r="M93" s="99"/>
      <c r="N93" s="99"/>
      <c r="O93" s="99"/>
      <c r="P93" s="99"/>
      <c r="Q93" s="99" t="s">
        <v>173</v>
      </c>
      <c r="R93" s="202">
        <f>R92</f>
        <v>120000</v>
      </c>
      <c r="S93" s="81"/>
      <c r="T93" s="81"/>
      <c r="U93" s="81"/>
      <c r="V93" s="81"/>
      <c r="W93" s="81"/>
    </row>
    <row r="94" spans="1:26" s="5" customFormat="1" ht="16.5" customHeight="1">
      <c r="A94" s="462"/>
      <c r="B94" s="296"/>
      <c r="C94" s="422" t="s">
        <v>174</v>
      </c>
      <c r="D94" s="290"/>
      <c r="E94" s="246">
        <v>0</v>
      </c>
      <c r="F94" s="246">
        <v>0</v>
      </c>
      <c r="G94" s="478">
        <f>F94+F95-E94-E95</f>
        <v>1680</v>
      </c>
      <c r="H94" s="457">
        <f>G94/E95</f>
        <v>1.4</v>
      </c>
      <c r="I94" s="110" t="s">
        <v>175</v>
      </c>
      <c r="J94" s="163">
        <v>100000</v>
      </c>
      <c r="K94" s="96" t="s">
        <v>151</v>
      </c>
      <c r="L94" s="96">
        <v>12</v>
      </c>
      <c r="M94" s="96" t="s">
        <v>172</v>
      </c>
      <c r="N94" s="96"/>
      <c r="O94" s="96"/>
      <c r="P94" s="96"/>
      <c r="Q94" s="96" t="s">
        <v>153</v>
      </c>
      <c r="R94" s="123">
        <f>J94*L94</f>
        <v>1200000</v>
      </c>
      <c r="S94" s="81"/>
      <c r="T94" s="81"/>
      <c r="U94" s="81"/>
      <c r="V94" s="81"/>
      <c r="W94" s="81"/>
    </row>
    <row r="95" spans="1:26" s="5" customFormat="1" ht="16.5" customHeight="1">
      <c r="A95" s="462"/>
      <c r="B95" s="296"/>
      <c r="C95" s="431"/>
      <c r="D95" s="291"/>
      <c r="E95" s="263">
        <v>1200</v>
      </c>
      <c r="F95" s="263">
        <f>R99/1000</f>
        <v>2880</v>
      </c>
      <c r="G95" s="476"/>
      <c r="H95" s="458"/>
      <c r="I95" s="96" t="s">
        <v>176</v>
      </c>
      <c r="J95" s="163">
        <v>20000</v>
      </c>
      <c r="K95" s="96" t="s">
        <v>159</v>
      </c>
      <c r="L95" s="96">
        <v>12</v>
      </c>
      <c r="M95" s="96" t="s">
        <v>177</v>
      </c>
      <c r="N95" s="96"/>
      <c r="O95" s="96"/>
      <c r="P95" s="96"/>
      <c r="Q95" s="164" t="s">
        <v>161</v>
      </c>
      <c r="R95" s="165">
        <f>J95*L95</f>
        <v>240000</v>
      </c>
      <c r="S95" s="81"/>
      <c r="T95" s="81"/>
      <c r="U95" s="81"/>
      <c r="V95" s="81"/>
      <c r="W95" s="81"/>
    </row>
    <row r="96" spans="1:26" s="5" customFormat="1" ht="16.5" customHeight="1">
      <c r="A96" s="462"/>
      <c r="B96" s="296"/>
      <c r="C96" s="305"/>
      <c r="D96" s="278"/>
      <c r="E96" s="263"/>
      <c r="F96" s="263"/>
      <c r="G96" s="285"/>
      <c r="H96" s="288"/>
      <c r="I96" s="120" t="s">
        <v>178</v>
      </c>
      <c r="J96" s="163">
        <v>50000</v>
      </c>
      <c r="K96" s="96" t="s">
        <v>159</v>
      </c>
      <c r="L96" s="96">
        <v>12</v>
      </c>
      <c r="M96" s="96" t="s">
        <v>179</v>
      </c>
      <c r="N96" s="96"/>
      <c r="O96" s="96"/>
      <c r="P96" s="96"/>
      <c r="Q96" s="164" t="s">
        <v>161</v>
      </c>
      <c r="R96" s="165">
        <f>J96*L96</f>
        <v>600000</v>
      </c>
      <c r="S96" s="81"/>
      <c r="T96" s="81"/>
      <c r="U96" s="81"/>
      <c r="V96" s="81"/>
      <c r="W96" s="81"/>
    </row>
    <row r="97" spans="1:23" s="5" customFormat="1" ht="16.5" customHeight="1">
      <c r="A97" s="462"/>
      <c r="B97" s="296"/>
      <c r="C97" s="306"/>
      <c r="D97" s="306"/>
      <c r="E97" s="247"/>
      <c r="F97" s="247"/>
      <c r="G97" s="315"/>
      <c r="H97" s="316"/>
      <c r="I97" s="120" t="s">
        <v>180</v>
      </c>
      <c r="J97" s="191">
        <v>20000</v>
      </c>
      <c r="K97" s="96" t="s">
        <v>151</v>
      </c>
      <c r="L97" s="96">
        <v>12</v>
      </c>
      <c r="M97" s="96" t="s">
        <v>181</v>
      </c>
      <c r="N97" s="96"/>
      <c r="O97" s="96"/>
      <c r="P97" s="96"/>
      <c r="Q97" s="96" t="s">
        <v>153</v>
      </c>
      <c r="R97" s="165">
        <f>J97*L97</f>
        <v>240000</v>
      </c>
      <c r="S97" s="81"/>
      <c r="T97" s="81"/>
      <c r="U97" s="81"/>
      <c r="V97" s="81"/>
      <c r="W97" s="81"/>
    </row>
    <row r="98" spans="1:23" s="5" customFormat="1" ht="16.5" customHeight="1">
      <c r="A98" s="462"/>
      <c r="B98" s="96"/>
      <c r="C98" s="306"/>
      <c r="D98" s="265"/>
      <c r="E98" s="247"/>
      <c r="F98" s="247"/>
      <c r="G98" s="315"/>
      <c r="H98" s="277"/>
      <c r="I98" s="96" t="s">
        <v>182</v>
      </c>
      <c r="J98" s="191">
        <v>50000</v>
      </c>
      <c r="K98" s="96" t="s">
        <v>151</v>
      </c>
      <c r="L98" s="96">
        <v>12</v>
      </c>
      <c r="M98" s="96" t="s">
        <v>181</v>
      </c>
      <c r="N98" s="96"/>
      <c r="O98" s="96"/>
      <c r="P98" s="96"/>
      <c r="Q98" s="96" t="s">
        <v>153</v>
      </c>
      <c r="R98" s="165">
        <f>J98*L98</f>
        <v>600000</v>
      </c>
      <c r="S98" s="81"/>
      <c r="T98" s="81"/>
      <c r="U98" s="81"/>
      <c r="V98" s="81"/>
      <c r="W98" s="81"/>
    </row>
    <row r="99" spans="1:23" s="5" customFormat="1" ht="16.5" customHeight="1">
      <c r="A99" s="462"/>
      <c r="B99" s="96"/>
      <c r="C99" s="293"/>
      <c r="D99" s="271"/>
      <c r="E99" s="250"/>
      <c r="F99" s="250"/>
      <c r="G99" s="317"/>
      <c r="H99" s="276"/>
      <c r="I99" s="99"/>
      <c r="J99" s="178"/>
      <c r="K99" s="99"/>
      <c r="L99" s="99"/>
      <c r="M99" s="99"/>
      <c r="N99" s="99"/>
      <c r="O99" s="99"/>
      <c r="P99" s="99"/>
      <c r="Q99" s="99" t="s">
        <v>173</v>
      </c>
      <c r="R99" s="109">
        <f>SUM(R94:R98)</f>
        <v>2880000</v>
      </c>
      <c r="S99" s="81"/>
      <c r="T99" s="81"/>
      <c r="U99" s="81"/>
      <c r="V99" s="81"/>
      <c r="W99" s="81"/>
    </row>
    <row r="100" spans="1:23" s="5" customFormat="1" ht="16.5" customHeight="1">
      <c r="A100" s="462"/>
      <c r="B100" s="96"/>
      <c r="C100" s="470" t="s">
        <v>183</v>
      </c>
      <c r="D100" s="265"/>
      <c r="E100" s="246">
        <v>0</v>
      </c>
      <c r="F100" s="246">
        <v>0</v>
      </c>
      <c r="G100" s="481">
        <f>F100+F101-E100-E101</f>
        <v>400</v>
      </c>
      <c r="H100" s="428">
        <f>G100/E101</f>
        <v>2</v>
      </c>
      <c r="I100" s="96" t="s">
        <v>184</v>
      </c>
      <c r="J100" s="105">
        <v>20000</v>
      </c>
      <c r="K100" s="96" t="s">
        <v>151</v>
      </c>
      <c r="L100" s="96">
        <v>12</v>
      </c>
      <c r="M100" s="96" t="s">
        <v>181</v>
      </c>
      <c r="N100" s="96"/>
      <c r="O100" s="96"/>
      <c r="P100" s="96"/>
      <c r="Q100" s="96" t="s">
        <v>153</v>
      </c>
      <c r="R100" s="106">
        <v>600000</v>
      </c>
      <c r="S100" s="81"/>
      <c r="T100" s="81"/>
      <c r="U100" s="81"/>
      <c r="V100" s="81"/>
      <c r="W100" s="81"/>
    </row>
    <row r="101" spans="1:23" s="5" customFormat="1" ht="16.5" customHeight="1">
      <c r="A101" s="462"/>
      <c r="B101" s="96"/>
      <c r="C101" s="462"/>
      <c r="D101" s="265"/>
      <c r="E101" s="418">
        <v>200</v>
      </c>
      <c r="F101" s="418">
        <f>R102/1000</f>
        <v>600</v>
      </c>
      <c r="G101" s="482"/>
      <c r="H101" s="433"/>
      <c r="I101" s="96"/>
      <c r="J101" s="107"/>
      <c r="K101" s="96"/>
      <c r="L101" s="96"/>
      <c r="M101" s="96"/>
      <c r="N101" s="96"/>
      <c r="O101" s="96"/>
      <c r="P101" s="96"/>
      <c r="Q101" s="96"/>
      <c r="R101" s="108"/>
      <c r="S101" s="81"/>
      <c r="T101" s="81"/>
      <c r="U101" s="81"/>
      <c r="V101" s="81"/>
      <c r="W101" s="81"/>
    </row>
    <row r="102" spans="1:23" s="5" customFormat="1" ht="16.5" customHeight="1">
      <c r="A102" s="448"/>
      <c r="B102" s="99"/>
      <c r="C102" s="448"/>
      <c r="D102" s="271"/>
      <c r="E102" s="420"/>
      <c r="F102" s="420"/>
      <c r="G102" s="483"/>
      <c r="H102" s="429"/>
      <c r="I102" s="99"/>
      <c r="J102" s="178"/>
      <c r="K102" s="99"/>
      <c r="L102" s="99"/>
      <c r="M102" s="99"/>
      <c r="N102" s="99"/>
      <c r="O102" s="99"/>
      <c r="P102" s="99"/>
      <c r="Q102" s="99" t="s">
        <v>173</v>
      </c>
      <c r="R102" s="109">
        <f>SUM(R100:R101)</f>
        <v>600000</v>
      </c>
      <c r="S102" s="81"/>
      <c r="T102" s="81"/>
      <c r="U102" s="81"/>
      <c r="V102" s="81"/>
      <c r="W102" s="81"/>
    </row>
    <row r="103" spans="1:23" ht="14.25" customHeight="1">
      <c r="A103" s="212" t="s">
        <v>155</v>
      </c>
      <c r="B103" s="212"/>
      <c r="C103" s="297" t="s">
        <v>156</v>
      </c>
      <c r="D103" s="297"/>
      <c r="E103" s="298"/>
      <c r="F103" s="298"/>
      <c r="G103" s="299"/>
      <c r="H103" s="300"/>
      <c r="I103" s="159"/>
      <c r="J103" s="159"/>
      <c r="K103" s="159"/>
      <c r="L103" s="159"/>
      <c r="M103" s="159"/>
      <c r="N103" s="159"/>
      <c r="O103" s="159"/>
      <c r="P103" s="159"/>
      <c r="Q103" s="159"/>
      <c r="R103" s="160" t="s">
        <v>71</v>
      </c>
    </row>
    <row r="104" spans="1:23" ht="15.75" customHeight="1">
      <c r="A104" s="434" t="s">
        <v>72</v>
      </c>
      <c r="B104" s="434" t="s">
        <v>73</v>
      </c>
      <c r="C104" s="434" t="s">
        <v>74</v>
      </c>
      <c r="D104" s="434" t="s">
        <v>75</v>
      </c>
      <c r="E104" s="301" t="s">
        <v>76</v>
      </c>
      <c r="F104" s="301" t="s">
        <v>77</v>
      </c>
      <c r="G104" s="442" t="s">
        <v>78</v>
      </c>
      <c r="H104" s="443"/>
      <c r="I104" s="436" t="s">
        <v>79</v>
      </c>
      <c r="J104" s="437"/>
      <c r="K104" s="437"/>
      <c r="L104" s="437"/>
      <c r="M104" s="437"/>
      <c r="N104" s="437"/>
      <c r="O104" s="437"/>
      <c r="P104" s="437"/>
      <c r="Q104" s="437"/>
      <c r="R104" s="438"/>
    </row>
    <row r="105" spans="1:23" ht="17.25" customHeight="1">
      <c r="A105" s="435"/>
      <c r="B105" s="435"/>
      <c r="C105" s="435"/>
      <c r="D105" s="435"/>
      <c r="E105" s="318" t="s">
        <v>80</v>
      </c>
      <c r="F105" s="318" t="s">
        <v>81</v>
      </c>
      <c r="G105" s="140" t="s">
        <v>82</v>
      </c>
      <c r="H105" s="302" t="s">
        <v>83</v>
      </c>
      <c r="I105" s="439"/>
      <c r="J105" s="440"/>
      <c r="K105" s="440"/>
      <c r="L105" s="440"/>
      <c r="M105" s="440"/>
      <c r="N105" s="440"/>
      <c r="O105" s="440"/>
      <c r="P105" s="440"/>
      <c r="Q105" s="440"/>
      <c r="R105" s="441"/>
    </row>
    <row r="106" spans="1:23" s="5" customFormat="1" ht="12" customHeight="1">
      <c r="A106" s="422" t="s">
        <v>186</v>
      </c>
      <c r="B106" s="470" t="s">
        <v>187</v>
      </c>
      <c r="C106" s="479"/>
      <c r="D106" s="311"/>
      <c r="E106" s="263">
        <f>E108+E110</f>
        <v>12600</v>
      </c>
      <c r="F106" s="263">
        <f>F108+F110</f>
        <v>0</v>
      </c>
      <c r="G106" s="471">
        <f>F106+F107-E107-E106</f>
        <v>-71606</v>
      </c>
      <c r="H106" s="457">
        <f>G106/E107</f>
        <v>-1.1815001815001815</v>
      </c>
      <c r="I106" s="149"/>
      <c r="J106" s="111"/>
      <c r="K106" s="110"/>
      <c r="L106" s="110"/>
      <c r="M106" s="110"/>
      <c r="N106" s="110"/>
      <c r="O106" s="110"/>
      <c r="P106" s="110"/>
      <c r="Q106" s="110"/>
      <c r="R106" s="226">
        <f>R112</f>
        <v>0</v>
      </c>
      <c r="S106" s="81"/>
      <c r="T106" s="81"/>
      <c r="U106" s="81"/>
      <c r="V106" s="81"/>
      <c r="W106" s="81"/>
    </row>
    <row r="107" spans="1:23" s="5" customFormat="1" ht="16.5" customHeight="1">
      <c r="A107" s="423"/>
      <c r="B107" s="448"/>
      <c r="C107" s="480"/>
      <c r="D107" s="312"/>
      <c r="E107" s="246">
        <f>E109+E112</f>
        <v>60606</v>
      </c>
      <c r="F107" s="246">
        <f>F109+F112</f>
        <v>1600</v>
      </c>
      <c r="G107" s="473"/>
      <c r="H107" s="459"/>
      <c r="I107" s="152"/>
      <c r="J107" s="178"/>
      <c r="K107" s="99"/>
      <c r="L107" s="99"/>
      <c r="M107" s="99"/>
      <c r="N107" s="99"/>
      <c r="O107" s="99"/>
      <c r="P107" s="99"/>
      <c r="Q107" s="99"/>
      <c r="R107" s="109">
        <f>R109+R113</f>
        <v>1600000</v>
      </c>
      <c r="S107" s="81"/>
      <c r="T107" s="81"/>
      <c r="U107" s="81"/>
      <c r="V107" s="81"/>
      <c r="W107" s="81"/>
    </row>
    <row r="108" spans="1:23" s="5" customFormat="1" ht="16.5" customHeight="1">
      <c r="A108" s="313"/>
      <c r="B108" s="313"/>
      <c r="C108" s="422" t="s">
        <v>188</v>
      </c>
      <c r="D108" s="203"/>
      <c r="E108" s="263">
        <v>0</v>
      </c>
      <c r="F108" s="263">
        <v>0</v>
      </c>
      <c r="G108" s="471">
        <f>F109-E109</f>
        <v>-1600</v>
      </c>
      <c r="H108" s="457">
        <f>G108/E109</f>
        <v>-0.8</v>
      </c>
      <c r="I108" s="149" t="s">
        <v>189</v>
      </c>
      <c r="J108" s="208">
        <v>200000</v>
      </c>
      <c r="K108" s="110" t="s">
        <v>151</v>
      </c>
      <c r="L108" s="110">
        <v>2</v>
      </c>
      <c r="M108" s="110" t="s">
        <v>177</v>
      </c>
      <c r="N108" s="110"/>
      <c r="O108" s="110"/>
      <c r="P108" s="110"/>
      <c r="Q108" s="110" t="s">
        <v>153</v>
      </c>
      <c r="R108" s="207">
        <f>J108*L108</f>
        <v>400000</v>
      </c>
      <c r="S108" s="81"/>
      <c r="T108" s="81"/>
      <c r="U108" s="81"/>
      <c r="V108" s="81"/>
      <c r="W108" s="81"/>
    </row>
    <row r="109" spans="1:23" s="5" customFormat="1" ht="16.5" customHeight="1">
      <c r="A109" s="296"/>
      <c r="B109" s="296"/>
      <c r="C109" s="431"/>
      <c r="D109" s="249"/>
      <c r="E109" s="263">
        <v>2000</v>
      </c>
      <c r="F109" s="263">
        <f>R109/1000</f>
        <v>400</v>
      </c>
      <c r="G109" s="472"/>
      <c r="H109" s="458"/>
      <c r="I109" s="152"/>
      <c r="J109" s="100"/>
      <c r="K109" s="99"/>
      <c r="L109" s="99"/>
      <c r="M109" s="99"/>
      <c r="N109" s="99"/>
      <c r="O109" s="99"/>
      <c r="P109" s="99"/>
      <c r="Q109" s="99" t="s">
        <v>173</v>
      </c>
      <c r="R109" s="109">
        <f>SUM(R108)</f>
        <v>400000</v>
      </c>
      <c r="S109" s="81"/>
      <c r="T109" s="81"/>
      <c r="U109" s="81"/>
      <c r="V109" s="81"/>
      <c r="W109" s="81"/>
    </row>
    <row r="110" spans="1:23" s="5" customFormat="1" ht="16.5" customHeight="1">
      <c r="A110" s="257"/>
      <c r="B110" s="257"/>
      <c r="C110" s="422" t="s">
        <v>190</v>
      </c>
      <c r="D110" s="268"/>
      <c r="E110" s="418">
        <v>12600</v>
      </c>
      <c r="F110" s="418">
        <f>R112/1000</f>
        <v>0</v>
      </c>
      <c r="G110" s="471">
        <f>F110+F112-E110-E112</f>
        <v>-70006</v>
      </c>
      <c r="H110" s="457">
        <f>G110/E110:E113</f>
        <v>-5.5560317460317457</v>
      </c>
      <c r="I110" s="96" t="s">
        <v>11</v>
      </c>
      <c r="J110" s="191">
        <v>100000</v>
      </c>
      <c r="K110" s="96" t="s">
        <v>12</v>
      </c>
      <c r="L110" s="96">
        <v>12</v>
      </c>
      <c r="M110" s="96" t="s">
        <v>179</v>
      </c>
      <c r="N110" s="96"/>
      <c r="O110" s="96"/>
      <c r="P110" s="96"/>
      <c r="Q110" s="96" t="s">
        <v>13</v>
      </c>
      <c r="R110" s="106">
        <f>J110*L110</f>
        <v>1200000</v>
      </c>
      <c r="S110" s="81"/>
      <c r="T110" s="81"/>
      <c r="U110" s="81"/>
      <c r="V110" s="81"/>
      <c r="W110" s="81"/>
    </row>
    <row r="111" spans="1:23" s="5" customFormat="1" ht="16.5" customHeight="1">
      <c r="A111" s="257"/>
      <c r="B111" s="314"/>
      <c r="C111" s="431"/>
      <c r="D111" s="269"/>
      <c r="E111" s="420"/>
      <c r="F111" s="420"/>
      <c r="G111" s="472"/>
      <c r="H111" s="458"/>
      <c r="I111" s="96"/>
      <c r="J111" s="191"/>
      <c r="K111" s="96"/>
      <c r="L111" s="96"/>
      <c r="M111" s="96"/>
      <c r="N111" s="96"/>
      <c r="O111" s="96"/>
      <c r="P111" s="96"/>
      <c r="Q111" s="96"/>
      <c r="R111" s="106"/>
      <c r="S111" s="81"/>
      <c r="T111" s="81"/>
      <c r="U111" s="81"/>
      <c r="V111" s="81"/>
      <c r="W111" s="81"/>
    </row>
    <row r="112" spans="1:23" s="5" customFormat="1" ht="16.5" customHeight="1">
      <c r="A112" s="257"/>
      <c r="B112" s="243"/>
      <c r="C112" s="431"/>
      <c r="D112" s="270"/>
      <c r="E112" s="418">
        <v>58606</v>
      </c>
      <c r="F112" s="418">
        <f>R113/1000</f>
        <v>1200</v>
      </c>
      <c r="G112" s="472"/>
      <c r="H112" s="458"/>
      <c r="I112" s="96"/>
      <c r="J112" s="191"/>
      <c r="K112" s="96"/>
      <c r="L112" s="96"/>
      <c r="M112" s="96"/>
      <c r="N112" s="96"/>
      <c r="O112" s="96"/>
      <c r="P112" s="96"/>
      <c r="Q112" s="96"/>
      <c r="R112" s="139"/>
      <c r="S112" s="81"/>
      <c r="T112" s="81"/>
      <c r="U112" s="81"/>
      <c r="V112" s="81"/>
      <c r="W112" s="81"/>
    </row>
    <row r="113" spans="1:23" s="5" customFormat="1" ht="20.25" customHeight="1">
      <c r="A113" s="259"/>
      <c r="B113" s="99"/>
      <c r="C113" s="423"/>
      <c r="D113" s="271"/>
      <c r="E113" s="420"/>
      <c r="F113" s="420"/>
      <c r="G113" s="473"/>
      <c r="H113" s="459"/>
      <c r="I113" s="99"/>
      <c r="J113" s="100"/>
      <c r="K113" s="99"/>
      <c r="L113" s="99"/>
      <c r="M113" s="99"/>
      <c r="N113" s="99"/>
      <c r="O113" s="99"/>
      <c r="P113" s="99"/>
      <c r="Q113" s="96" t="s">
        <v>173</v>
      </c>
      <c r="R113" s="109">
        <f>R110+R111</f>
        <v>1200000</v>
      </c>
      <c r="S113" s="81"/>
      <c r="T113" s="81"/>
      <c r="U113" s="81"/>
      <c r="V113" s="81"/>
      <c r="W113" s="81"/>
    </row>
    <row r="114" spans="1:23" s="5" customFormat="1" ht="15.4" customHeight="1">
      <c r="A114" s="470" t="s">
        <v>191</v>
      </c>
      <c r="B114" s="110"/>
      <c r="C114" s="292"/>
      <c r="D114" s="309"/>
      <c r="E114" s="263">
        <f>E116</f>
        <v>89960</v>
      </c>
      <c r="F114" s="263">
        <f>F116</f>
        <v>102560</v>
      </c>
      <c r="G114" s="454">
        <f>F114+F115-E114-E115</f>
        <v>23464</v>
      </c>
      <c r="H114" s="457">
        <f>G114/E114:E115</f>
        <v>0.26082703423743886</v>
      </c>
      <c r="I114" s="110"/>
      <c r="J114" s="111"/>
      <c r="K114" s="110"/>
      <c r="L114" s="110"/>
      <c r="M114" s="110"/>
      <c r="N114" s="110"/>
      <c r="O114" s="110"/>
      <c r="P114" s="110"/>
      <c r="Q114" s="110"/>
      <c r="R114" s="151">
        <f>R116</f>
        <v>102560000</v>
      </c>
      <c r="S114" s="81"/>
      <c r="T114" s="81"/>
      <c r="U114" s="81"/>
      <c r="V114" s="81"/>
      <c r="W114" s="81"/>
    </row>
    <row r="115" spans="1:23" s="5" customFormat="1" ht="15.4" customHeight="1">
      <c r="A115" s="448"/>
      <c r="B115" s="99"/>
      <c r="C115" s="293"/>
      <c r="D115" s="310"/>
      <c r="E115" s="246">
        <f>E117</f>
        <v>48288</v>
      </c>
      <c r="F115" s="246">
        <f>F117</f>
        <v>59152</v>
      </c>
      <c r="G115" s="456"/>
      <c r="H115" s="459"/>
      <c r="I115" s="99"/>
      <c r="J115" s="178"/>
      <c r="K115" s="99"/>
      <c r="L115" s="99"/>
      <c r="M115" s="99"/>
      <c r="N115" s="99"/>
      <c r="O115" s="99"/>
      <c r="P115" s="99"/>
      <c r="Q115" s="99"/>
      <c r="R115" s="109">
        <f>R117</f>
        <v>59152000</v>
      </c>
      <c r="S115" s="81"/>
      <c r="T115" s="81"/>
      <c r="U115" s="81"/>
      <c r="V115" s="81"/>
      <c r="W115" s="81"/>
    </row>
    <row r="116" spans="1:23" s="5" customFormat="1" ht="15.4" customHeight="1">
      <c r="A116" s="257"/>
      <c r="B116" s="470" t="s">
        <v>191</v>
      </c>
      <c r="C116" s="306"/>
      <c r="D116" s="308"/>
      <c r="E116" s="246">
        <f>E118+E141+E191</f>
        <v>89960</v>
      </c>
      <c r="F116" s="246">
        <f>F118+F141+F191</f>
        <v>102560</v>
      </c>
      <c r="G116" s="454">
        <f>F116+F117-E116-E117</f>
        <v>23464</v>
      </c>
      <c r="H116" s="457">
        <f>G116/E116:E117</f>
        <v>0.26082703423743886</v>
      </c>
      <c r="I116" s="96"/>
      <c r="J116" s="107"/>
      <c r="K116" s="96"/>
      <c r="L116" s="96"/>
      <c r="M116" s="96"/>
      <c r="N116" s="96"/>
      <c r="O116" s="96"/>
      <c r="P116" s="96"/>
      <c r="Q116" s="96"/>
      <c r="R116" s="210">
        <f>R118+R141+R191</f>
        <v>102560000</v>
      </c>
      <c r="S116" s="81"/>
      <c r="T116" s="81"/>
      <c r="U116" s="81"/>
      <c r="V116" s="81"/>
      <c r="W116" s="81"/>
    </row>
    <row r="117" spans="1:23" s="5" customFormat="1" ht="15.4" customHeight="1">
      <c r="A117" s="257"/>
      <c r="B117" s="462"/>
      <c r="C117" s="306"/>
      <c r="D117" s="308"/>
      <c r="E117" s="247">
        <f>E119+E142+E192</f>
        <v>48288</v>
      </c>
      <c r="F117" s="247">
        <f>F119+F142+F192</f>
        <v>59152</v>
      </c>
      <c r="G117" s="455"/>
      <c r="H117" s="459"/>
      <c r="I117" s="96"/>
      <c r="J117" s="107"/>
      <c r="K117" s="96"/>
      <c r="L117" s="96"/>
      <c r="M117" s="96"/>
      <c r="N117" s="96"/>
      <c r="O117" s="96"/>
      <c r="P117" s="96"/>
      <c r="Q117" s="96"/>
      <c r="R117" s="108">
        <f>R119+R142+R192</f>
        <v>59152000</v>
      </c>
      <c r="S117" s="81"/>
      <c r="T117" s="81"/>
      <c r="U117" s="81"/>
      <c r="V117" s="81"/>
      <c r="W117" s="81"/>
    </row>
    <row r="118" spans="1:23" s="5" customFormat="1" ht="15.4" customHeight="1">
      <c r="A118" s="296"/>
      <c r="B118" s="305"/>
      <c r="C118" s="464" t="s">
        <v>192</v>
      </c>
      <c r="D118" s="292"/>
      <c r="E118" s="246">
        <f>E120+E132</f>
        <v>48085</v>
      </c>
      <c r="F118" s="246">
        <f>F120+F132</f>
        <v>62500</v>
      </c>
      <c r="G118" s="454">
        <f>F118+F119-E118-E119</f>
        <v>6818</v>
      </c>
      <c r="H118" s="457">
        <f>G118/E118:E119</f>
        <v>0.1417905791826973</v>
      </c>
      <c r="I118" s="110"/>
      <c r="J118" s="111"/>
      <c r="K118" s="110"/>
      <c r="L118" s="110"/>
      <c r="M118" s="110"/>
      <c r="N118" s="110"/>
      <c r="O118" s="110"/>
      <c r="P118" s="110"/>
      <c r="Q118" s="110"/>
      <c r="R118" s="151">
        <f>R130+R136</f>
        <v>62500000</v>
      </c>
      <c r="S118" s="81"/>
      <c r="T118" s="81"/>
      <c r="U118" s="81"/>
      <c r="V118" s="81"/>
      <c r="W118" s="81"/>
    </row>
    <row r="119" spans="1:23" ht="18.75" customHeight="1">
      <c r="A119" s="296"/>
      <c r="B119" s="296"/>
      <c r="C119" s="465"/>
      <c r="D119" s="293"/>
      <c r="E119" s="246">
        <f>E134+E127</f>
        <v>47707</v>
      </c>
      <c r="F119" s="246">
        <f>F134+F127</f>
        <v>40110</v>
      </c>
      <c r="G119" s="456"/>
      <c r="H119" s="459"/>
      <c r="I119" s="99"/>
      <c r="J119" s="178"/>
      <c r="K119" s="99"/>
      <c r="L119" s="99"/>
      <c r="M119" s="99"/>
      <c r="N119" s="99"/>
      <c r="O119" s="99"/>
      <c r="P119" s="99"/>
      <c r="Q119" s="99"/>
      <c r="R119" s="109">
        <f>R131+R137</f>
        <v>40110000</v>
      </c>
    </row>
    <row r="120" spans="1:23" ht="15.4" customHeight="1">
      <c r="A120" s="296"/>
      <c r="B120" s="211"/>
      <c r="C120" s="305"/>
      <c r="D120" s="466" t="s">
        <v>193</v>
      </c>
      <c r="E120" s="418">
        <v>41685</v>
      </c>
      <c r="F120" s="418">
        <f>R130/1000</f>
        <v>47000</v>
      </c>
      <c r="G120" s="454">
        <f>F120+F127-E120-E127</f>
        <v>-1682</v>
      </c>
      <c r="H120" s="457">
        <f>G120/E120:E131</f>
        <v>-4.0350245891807607E-2</v>
      </c>
      <c r="I120" s="96" t="s">
        <v>194</v>
      </c>
      <c r="J120" s="235"/>
      <c r="K120" s="235"/>
      <c r="L120" s="463">
        <v>100000</v>
      </c>
      <c r="M120" s="463"/>
      <c r="N120" s="235" t="s">
        <v>159</v>
      </c>
      <c r="O120" s="235">
        <v>350</v>
      </c>
      <c r="P120" s="235" t="s">
        <v>195</v>
      </c>
      <c r="Q120" s="217" t="s">
        <v>153</v>
      </c>
      <c r="R120" s="188">
        <f t="shared" ref="R120:R128" si="7">L120*O120</f>
        <v>35000000</v>
      </c>
    </row>
    <row r="121" spans="1:23" ht="15.4" customHeight="1">
      <c r="A121" s="296"/>
      <c r="B121" s="211"/>
      <c r="C121" s="261"/>
      <c r="D121" s="467"/>
      <c r="E121" s="419"/>
      <c r="F121" s="419"/>
      <c r="G121" s="455"/>
      <c r="H121" s="458"/>
      <c r="I121" s="96"/>
      <c r="J121" s="216"/>
      <c r="K121" s="216"/>
      <c r="L121" s="469">
        <v>80000</v>
      </c>
      <c r="M121" s="469"/>
      <c r="N121" s="216" t="s">
        <v>159</v>
      </c>
      <c r="O121" s="216">
        <v>150</v>
      </c>
      <c r="P121" s="216" t="s">
        <v>195</v>
      </c>
      <c r="Q121" s="217" t="s">
        <v>153</v>
      </c>
      <c r="R121" s="188">
        <f t="shared" si="7"/>
        <v>12000000</v>
      </c>
    </row>
    <row r="122" spans="1:23" ht="15.4" customHeight="1">
      <c r="A122" s="296"/>
      <c r="B122" s="211"/>
      <c r="C122" s="261"/>
      <c r="D122" s="467"/>
      <c r="E122" s="419"/>
      <c r="F122" s="419"/>
      <c r="G122" s="455"/>
      <c r="H122" s="458"/>
      <c r="I122" s="96" t="s">
        <v>196</v>
      </c>
      <c r="J122" s="107"/>
      <c r="K122" s="107"/>
      <c r="L122" s="461">
        <v>30000</v>
      </c>
      <c r="M122" s="461"/>
      <c r="N122" s="236" t="s">
        <v>159</v>
      </c>
      <c r="O122" s="216">
        <v>350</v>
      </c>
      <c r="P122" s="236" t="s">
        <v>195</v>
      </c>
      <c r="Q122" s="237" t="s">
        <v>153</v>
      </c>
      <c r="R122" s="162">
        <f t="shared" si="7"/>
        <v>10500000</v>
      </c>
      <c r="T122" s="21">
        <v>3000000</v>
      </c>
    </row>
    <row r="123" spans="1:23" ht="15.4" customHeight="1">
      <c r="A123" s="296"/>
      <c r="B123" s="211"/>
      <c r="C123" s="261"/>
      <c r="D123" s="467"/>
      <c r="E123" s="419"/>
      <c r="F123" s="419"/>
      <c r="G123" s="455"/>
      <c r="H123" s="458"/>
      <c r="I123" s="96"/>
      <c r="J123" s="107"/>
      <c r="K123" s="107"/>
      <c r="L123" s="461">
        <v>24000</v>
      </c>
      <c r="M123" s="461"/>
      <c r="N123" s="236" t="s">
        <v>159</v>
      </c>
      <c r="O123" s="216">
        <v>150</v>
      </c>
      <c r="P123" s="236" t="s">
        <v>195</v>
      </c>
      <c r="Q123" s="237" t="s">
        <v>153</v>
      </c>
      <c r="R123" s="162">
        <f t="shared" si="7"/>
        <v>3600000</v>
      </c>
    </row>
    <row r="124" spans="1:23" ht="15.4" customHeight="1">
      <c r="A124" s="296"/>
      <c r="B124" s="211"/>
      <c r="C124" s="261"/>
      <c r="D124" s="467"/>
      <c r="E124" s="419"/>
      <c r="F124" s="419"/>
      <c r="G124" s="455"/>
      <c r="H124" s="458"/>
      <c r="I124" s="96" t="s">
        <v>197</v>
      </c>
      <c r="J124" s="107"/>
      <c r="K124" s="107"/>
      <c r="L124" s="461">
        <v>45000</v>
      </c>
      <c r="M124" s="461"/>
      <c r="N124" s="236" t="s">
        <v>159</v>
      </c>
      <c r="O124" s="216">
        <v>90</v>
      </c>
      <c r="P124" s="236" t="s">
        <v>195</v>
      </c>
      <c r="Q124" s="237" t="s">
        <v>153</v>
      </c>
      <c r="R124" s="162">
        <f t="shared" si="7"/>
        <v>4050000</v>
      </c>
    </row>
    <row r="125" spans="1:23" ht="15.4" customHeight="1">
      <c r="A125" s="296"/>
      <c r="B125" s="211"/>
      <c r="C125" s="260"/>
      <c r="D125" s="467"/>
      <c r="E125" s="419"/>
      <c r="F125" s="419"/>
      <c r="G125" s="455"/>
      <c r="H125" s="458"/>
      <c r="I125" s="96"/>
      <c r="J125" s="107"/>
      <c r="K125" s="107"/>
      <c r="L125" s="461">
        <v>30000</v>
      </c>
      <c r="M125" s="461"/>
      <c r="N125" s="236" t="s">
        <v>159</v>
      </c>
      <c r="O125" s="216">
        <v>260</v>
      </c>
      <c r="P125" s="236" t="s">
        <v>195</v>
      </c>
      <c r="Q125" s="237" t="s">
        <v>153</v>
      </c>
      <c r="R125" s="162">
        <f t="shared" si="7"/>
        <v>7800000</v>
      </c>
    </row>
    <row r="126" spans="1:23" ht="15.4" customHeight="1">
      <c r="A126" s="296"/>
      <c r="B126" s="211"/>
      <c r="C126" s="260"/>
      <c r="D126" s="467"/>
      <c r="E126" s="272"/>
      <c r="F126" s="272"/>
      <c r="G126" s="455"/>
      <c r="H126" s="458"/>
      <c r="I126" s="96"/>
      <c r="J126" s="107"/>
      <c r="K126" s="107"/>
      <c r="L126" s="461">
        <v>27000</v>
      </c>
      <c r="M126" s="461"/>
      <c r="N126" s="236" t="s">
        <v>159</v>
      </c>
      <c r="O126" s="216">
        <v>150</v>
      </c>
      <c r="P126" s="236" t="s">
        <v>195</v>
      </c>
      <c r="Q126" s="237" t="s">
        <v>153</v>
      </c>
      <c r="R126" s="162">
        <f t="shared" si="7"/>
        <v>4050000</v>
      </c>
    </row>
    <row r="127" spans="1:23" ht="15.4" customHeight="1">
      <c r="A127" s="296"/>
      <c r="B127" s="211"/>
      <c r="C127" s="260"/>
      <c r="D127" s="467"/>
      <c r="E127" s="418">
        <v>37107</v>
      </c>
      <c r="F127" s="418">
        <f>R131/1000</f>
        <v>30110</v>
      </c>
      <c r="G127" s="455"/>
      <c r="H127" s="458"/>
      <c r="I127" s="96" t="s">
        <v>198</v>
      </c>
      <c r="J127" s="107"/>
      <c r="K127" s="107"/>
      <c r="L127" s="461">
        <v>70000</v>
      </c>
      <c r="M127" s="461"/>
      <c r="N127" s="107" t="s">
        <v>159</v>
      </c>
      <c r="O127" s="107">
        <v>1</v>
      </c>
      <c r="P127" s="107" t="s">
        <v>177</v>
      </c>
      <c r="Q127" s="96" t="s">
        <v>161</v>
      </c>
      <c r="R127" s="162">
        <f t="shared" si="7"/>
        <v>70000</v>
      </c>
    </row>
    <row r="128" spans="1:23" ht="15.4" customHeight="1">
      <c r="A128" s="296"/>
      <c r="B128" s="211"/>
      <c r="C128" s="260"/>
      <c r="D128" s="467"/>
      <c r="E128" s="419"/>
      <c r="F128" s="419"/>
      <c r="G128" s="455"/>
      <c r="H128" s="458"/>
      <c r="I128" s="96" t="s">
        <v>199</v>
      </c>
      <c r="J128" s="107"/>
      <c r="K128" s="107"/>
      <c r="L128" s="461">
        <v>2000</v>
      </c>
      <c r="M128" s="461"/>
      <c r="N128" s="107" t="s">
        <v>159</v>
      </c>
      <c r="O128" s="107">
        <v>20</v>
      </c>
      <c r="P128" s="107" t="s">
        <v>200</v>
      </c>
      <c r="Q128" s="96" t="s">
        <v>161</v>
      </c>
      <c r="R128" s="162">
        <f t="shared" si="7"/>
        <v>40000</v>
      </c>
    </row>
    <row r="129" spans="1:23" ht="15.4" customHeight="1">
      <c r="A129" s="296"/>
      <c r="B129" s="96"/>
      <c r="C129" s="260"/>
      <c r="D129" s="467"/>
      <c r="E129" s="419"/>
      <c r="F129" s="419"/>
      <c r="G129" s="455"/>
      <c r="H129" s="458"/>
      <c r="I129" s="96"/>
      <c r="J129" s="107"/>
      <c r="K129" s="107"/>
      <c r="L129" s="241"/>
      <c r="M129" s="241"/>
      <c r="N129" s="107"/>
      <c r="O129" s="107"/>
      <c r="P129" s="107"/>
      <c r="Q129" s="96"/>
      <c r="R129" s="162"/>
    </row>
    <row r="130" spans="1:23" ht="15.4" customHeight="1">
      <c r="A130" s="462"/>
      <c r="B130" s="96"/>
      <c r="C130" s="306"/>
      <c r="D130" s="467"/>
      <c r="E130" s="419"/>
      <c r="F130" s="419"/>
      <c r="G130" s="455"/>
      <c r="H130" s="458"/>
      <c r="I130" s="96"/>
      <c r="J130" s="191"/>
      <c r="K130" s="96"/>
      <c r="L130" s="243"/>
      <c r="M130" s="243"/>
      <c r="N130" s="243"/>
      <c r="O130" s="243"/>
      <c r="P130" s="192"/>
      <c r="Q130" s="193" t="s">
        <v>185</v>
      </c>
      <c r="R130" s="194">
        <f>SUM(R120:R121)</f>
        <v>47000000</v>
      </c>
    </row>
    <row r="131" spans="1:23" s="5" customFormat="1" ht="15.4" customHeight="1">
      <c r="A131" s="462"/>
      <c r="B131" s="462"/>
      <c r="C131" s="462"/>
      <c r="D131" s="468"/>
      <c r="E131" s="420"/>
      <c r="F131" s="420"/>
      <c r="G131" s="456"/>
      <c r="H131" s="459"/>
      <c r="I131" s="99"/>
      <c r="J131" s="195"/>
      <c r="K131" s="99"/>
      <c r="L131" s="196"/>
      <c r="M131" s="196"/>
      <c r="N131" s="196"/>
      <c r="O131" s="196"/>
      <c r="P131" s="197"/>
      <c r="Q131" s="198"/>
      <c r="R131" s="199">
        <f>SUM(R122:R128)</f>
        <v>30110000</v>
      </c>
      <c r="S131" s="81"/>
      <c r="T131" s="81"/>
      <c r="U131" s="81"/>
      <c r="V131" s="81"/>
      <c r="W131" s="81"/>
    </row>
    <row r="132" spans="1:23" s="5" customFormat="1" ht="15.4" customHeight="1">
      <c r="A132" s="462"/>
      <c r="B132" s="462"/>
      <c r="C132" s="462"/>
      <c r="D132" s="422" t="s">
        <v>201</v>
      </c>
      <c r="E132" s="418">
        <v>6400</v>
      </c>
      <c r="F132" s="418">
        <f>R136/1000</f>
        <v>15500</v>
      </c>
      <c r="G132" s="454">
        <f>F132+F134-E132-E134</f>
        <v>8500</v>
      </c>
      <c r="H132" s="457">
        <f>G132/E132</f>
        <v>1.328125</v>
      </c>
      <c r="I132" s="120" t="s">
        <v>202</v>
      </c>
      <c r="J132" s="107"/>
      <c r="K132" s="107"/>
      <c r="L132" s="460">
        <v>10000</v>
      </c>
      <c r="M132" s="460"/>
      <c r="N132" s="107" t="s">
        <v>159</v>
      </c>
      <c r="O132" s="107">
        <v>50</v>
      </c>
      <c r="P132" s="107" t="s">
        <v>203</v>
      </c>
      <c r="Q132" s="96" t="s">
        <v>153</v>
      </c>
      <c r="R132" s="189">
        <f>L132*O132</f>
        <v>500000</v>
      </c>
      <c r="S132" s="81"/>
      <c r="T132" s="81"/>
      <c r="U132" s="81"/>
      <c r="V132" s="81"/>
      <c r="W132" s="81"/>
    </row>
    <row r="133" spans="1:23" s="5" customFormat="1" ht="15.4" customHeight="1">
      <c r="A133" s="296"/>
      <c r="B133" s="211"/>
      <c r="C133" s="211"/>
      <c r="D133" s="431"/>
      <c r="E133" s="419"/>
      <c r="F133" s="419"/>
      <c r="G133" s="455"/>
      <c r="H133" s="458"/>
      <c r="I133" s="120" t="s">
        <v>204</v>
      </c>
      <c r="J133" s="107"/>
      <c r="K133" s="107"/>
      <c r="L133" s="460">
        <v>300000</v>
      </c>
      <c r="M133" s="460"/>
      <c r="N133" s="107" t="s">
        <v>159</v>
      </c>
      <c r="O133" s="107">
        <v>50</v>
      </c>
      <c r="P133" s="107" t="s">
        <v>195</v>
      </c>
      <c r="Q133" s="96" t="s">
        <v>153</v>
      </c>
      <c r="R133" s="189">
        <f>L133*O133</f>
        <v>15000000</v>
      </c>
      <c r="S133" s="81"/>
      <c r="T133" s="81"/>
      <c r="U133" s="81"/>
      <c r="V133" s="81"/>
      <c r="W133" s="81"/>
    </row>
    <row r="134" spans="1:23" s="5" customFormat="1" ht="15.4" customHeight="1">
      <c r="A134" s="296"/>
      <c r="B134" s="296"/>
      <c r="C134" s="211"/>
      <c r="D134" s="431"/>
      <c r="E134" s="418">
        <v>10600</v>
      </c>
      <c r="F134" s="418">
        <f>R137/1000</f>
        <v>10000</v>
      </c>
      <c r="G134" s="455"/>
      <c r="H134" s="458"/>
      <c r="I134" s="120" t="s">
        <v>205</v>
      </c>
      <c r="J134" s="107"/>
      <c r="K134" s="107"/>
      <c r="L134" s="461">
        <v>200000</v>
      </c>
      <c r="M134" s="461"/>
      <c r="N134" s="107" t="s">
        <v>206</v>
      </c>
      <c r="O134" s="107">
        <v>50</v>
      </c>
      <c r="P134" s="107" t="s">
        <v>207</v>
      </c>
      <c r="Q134" s="96" t="s">
        <v>208</v>
      </c>
      <c r="R134" s="162">
        <f>L134*O134</f>
        <v>10000000</v>
      </c>
      <c r="S134" s="81"/>
      <c r="T134" s="81">
        <v>2000000</v>
      </c>
      <c r="U134" s="81"/>
      <c r="V134" s="81"/>
      <c r="W134" s="81"/>
    </row>
    <row r="135" spans="1:23" s="5" customFormat="1" ht="15.4" customHeight="1">
      <c r="A135" s="296"/>
      <c r="B135" s="296"/>
      <c r="C135" s="211"/>
      <c r="D135" s="431"/>
      <c r="E135" s="419"/>
      <c r="F135" s="419"/>
      <c r="G135" s="455"/>
      <c r="H135" s="458"/>
      <c r="I135" s="120"/>
      <c r="J135" s="107"/>
      <c r="K135" s="107"/>
      <c r="L135" s="241"/>
      <c r="M135" s="241"/>
      <c r="N135" s="107"/>
      <c r="O135" s="107"/>
      <c r="P135" s="107"/>
      <c r="Q135" s="96"/>
      <c r="R135" s="162"/>
      <c r="S135" s="81"/>
      <c r="T135" s="81"/>
      <c r="U135" s="81"/>
      <c r="V135" s="81"/>
      <c r="W135" s="81"/>
    </row>
    <row r="136" spans="1:23" s="5" customFormat="1" ht="15.4" customHeight="1">
      <c r="A136" s="296"/>
      <c r="B136" s="296"/>
      <c r="C136" s="211"/>
      <c r="D136" s="431"/>
      <c r="E136" s="419"/>
      <c r="F136" s="419"/>
      <c r="G136" s="455"/>
      <c r="H136" s="458"/>
      <c r="I136" s="120"/>
      <c r="J136" s="242"/>
      <c r="K136" s="242"/>
      <c r="L136" s="461"/>
      <c r="M136" s="461"/>
      <c r="N136" s="107"/>
      <c r="O136" s="107"/>
      <c r="P136" s="107"/>
      <c r="Q136" s="200" t="s">
        <v>209</v>
      </c>
      <c r="R136" s="167">
        <f>SUM(R132:R133)</f>
        <v>15500000</v>
      </c>
      <c r="S136" s="81"/>
      <c r="T136" s="81"/>
      <c r="U136" s="81"/>
      <c r="V136" s="81"/>
      <c r="W136" s="81"/>
    </row>
    <row r="137" spans="1:23" s="5" customFormat="1" ht="17.25" customHeight="1">
      <c r="A137" s="259"/>
      <c r="B137" s="259"/>
      <c r="C137" s="307"/>
      <c r="D137" s="423"/>
      <c r="E137" s="420"/>
      <c r="F137" s="420"/>
      <c r="G137" s="456"/>
      <c r="H137" s="459"/>
      <c r="I137" s="152"/>
      <c r="J137" s="244"/>
      <c r="K137" s="244"/>
      <c r="L137" s="244"/>
      <c r="M137" s="244"/>
      <c r="N137" s="178"/>
      <c r="O137" s="178"/>
      <c r="P137" s="178"/>
      <c r="Q137" s="170"/>
      <c r="R137" s="199">
        <f>SUM(R134)</f>
        <v>10000000</v>
      </c>
      <c r="S137" s="81"/>
      <c r="T137" s="81"/>
      <c r="U137" s="81"/>
      <c r="V137" s="81"/>
      <c r="W137" s="81"/>
    </row>
    <row r="138" spans="1:23" ht="16.5" customHeight="1">
      <c r="A138" s="212" t="s">
        <v>95</v>
      </c>
      <c r="B138" s="212"/>
      <c r="C138" s="297" t="s">
        <v>96</v>
      </c>
      <c r="D138" s="297"/>
      <c r="E138" s="298"/>
      <c r="F138" s="298"/>
      <c r="G138" s="299"/>
      <c r="H138" s="300"/>
      <c r="I138" s="159"/>
      <c r="J138" s="159"/>
      <c r="K138" s="159"/>
      <c r="L138" s="159"/>
      <c r="M138" s="159"/>
      <c r="N138" s="159"/>
      <c r="O138" s="159"/>
      <c r="P138" s="159"/>
      <c r="Q138" s="159"/>
      <c r="R138" s="160" t="s">
        <v>0</v>
      </c>
    </row>
    <row r="139" spans="1:23" s="5" customFormat="1" ht="19.5" customHeight="1">
      <c r="A139" s="434" t="s">
        <v>97</v>
      </c>
      <c r="B139" s="434" t="s">
        <v>98</v>
      </c>
      <c r="C139" s="434" t="s">
        <v>99</v>
      </c>
      <c r="D139" s="434" t="s">
        <v>1</v>
      </c>
      <c r="E139" s="301" t="s">
        <v>269</v>
      </c>
      <c r="F139" s="301" t="s">
        <v>267</v>
      </c>
      <c r="G139" s="442" t="s">
        <v>100</v>
      </c>
      <c r="H139" s="443"/>
      <c r="I139" s="436" t="s">
        <v>101</v>
      </c>
      <c r="J139" s="437"/>
      <c r="K139" s="437"/>
      <c r="L139" s="437"/>
      <c r="M139" s="437"/>
      <c r="N139" s="437"/>
      <c r="O139" s="437"/>
      <c r="P139" s="437"/>
      <c r="Q139" s="437"/>
      <c r="R139" s="438"/>
      <c r="S139" s="81"/>
      <c r="T139" s="81"/>
      <c r="U139" s="81"/>
      <c r="V139" s="81"/>
      <c r="W139" s="81"/>
    </row>
    <row r="140" spans="1:23" s="5" customFormat="1" ht="19.5" customHeight="1">
      <c r="A140" s="435"/>
      <c r="B140" s="435"/>
      <c r="C140" s="435"/>
      <c r="D140" s="435"/>
      <c r="E140" s="301" t="s">
        <v>270</v>
      </c>
      <c r="F140" s="301" t="s">
        <v>268</v>
      </c>
      <c r="G140" s="140" t="s">
        <v>2</v>
      </c>
      <c r="H140" s="302" t="s">
        <v>102</v>
      </c>
      <c r="I140" s="439"/>
      <c r="J140" s="440"/>
      <c r="K140" s="440"/>
      <c r="L140" s="440"/>
      <c r="M140" s="440"/>
      <c r="N140" s="440"/>
      <c r="O140" s="440"/>
      <c r="P140" s="440"/>
      <c r="Q140" s="440"/>
      <c r="R140" s="441"/>
      <c r="S140" s="81"/>
      <c r="T140" s="81"/>
      <c r="U140" s="81"/>
      <c r="V140" s="81"/>
      <c r="W140" s="81"/>
    </row>
    <row r="141" spans="1:23" s="5" customFormat="1" ht="22.5" customHeight="1">
      <c r="A141" s="313"/>
      <c r="B141" s="296"/>
      <c r="C141" s="422" t="s">
        <v>14</v>
      </c>
      <c r="D141" s="303"/>
      <c r="E141" s="274">
        <f>E143+E158+E166+E168+E175</f>
        <v>13888</v>
      </c>
      <c r="F141" s="274">
        <f>F143+F158+F166+F168+F175</f>
        <v>11020</v>
      </c>
      <c r="G141" s="426">
        <f>F141+F142-E141-E142</f>
        <v>15586</v>
      </c>
      <c r="H141" s="428">
        <f>G141/E141:E142</f>
        <v>1.1222638248847927</v>
      </c>
      <c r="I141" s="201"/>
      <c r="J141" s="172"/>
      <c r="K141" s="172"/>
      <c r="L141" s="172"/>
      <c r="M141" s="172"/>
      <c r="N141" s="172"/>
      <c r="O141" s="172"/>
      <c r="P141" s="172"/>
      <c r="Q141" s="172"/>
      <c r="R141" s="174">
        <f>R156+R164+R167+R170+R189</f>
        <v>11020000</v>
      </c>
      <c r="S141" s="81"/>
      <c r="T141" s="81"/>
      <c r="U141" s="81"/>
      <c r="V141" s="81"/>
      <c r="W141" s="81"/>
    </row>
    <row r="142" spans="1:23" s="5" customFormat="1" ht="24" customHeight="1">
      <c r="A142" s="296"/>
      <c r="B142" s="296"/>
      <c r="C142" s="423"/>
      <c r="D142" s="304"/>
      <c r="E142" s="274">
        <f>E149+E161+E167+E170+E183</f>
        <v>158</v>
      </c>
      <c r="F142" s="274">
        <f>F149+F161+F167+F170+F183</f>
        <v>18612</v>
      </c>
      <c r="G142" s="448"/>
      <c r="H142" s="429"/>
      <c r="I142" s="168"/>
      <c r="J142" s="179"/>
      <c r="K142" s="179"/>
      <c r="L142" s="179"/>
      <c r="M142" s="179"/>
      <c r="N142" s="179"/>
      <c r="O142" s="179"/>
      <c r="P142" s="179"/>
      <c r="Q142" s="179"/>
      <c r="R142" s="202">
        <f>R157+R165+R190+R171</f>
        <v>18612000</v>
      </c>
      <c r="S142" s="81"/>
      <c r="T142" s="81"/>
      <c r="U142" s="81"/>
      <c r="V142" s="81"/>
      <c r="W142" s="81"/>
    </row>
    <row r="143" spans="1:23" s="5" customFormat="1" ht="18" customHeight="1">
      <c r="A143" s="296"/>
      <c r="B143" s="296"/>
      <c r="C143" s="313"/>
      <c r="D143" s="449" t="s">
        <v>280</v>
      </c>
      <c r="E143" s="418">
        <v>0</v>
      </c>
      <c r="F143" s="418">
        <f>R156/1000</f>
        <v>2466</v>
      </c>
      <c r="G143" s="454">
        <f>F143+F149-E143-E149</f>
        <v>11626</v>
      </c>
      <c r="H143" s="526" t="e">
        <f>G143/E143</f>
        <v>#DIV/0!</v>
      </c>
      <c r="I143" s="120" t="s">
        <v>281</v>
      </c>
      <c r="J143" s="107"/>
      <c r="K143" s="107"/>
      <c r="L143" s="525"/>
      <c r="M143" s="525"/>
      <c r="N143" s="107"/>
      <c r="O143" s="327"/>
      <c r="P143" s="327"/>
      <c r="Q143" s="96"/>
      <c r="R143" s="189"/>
      <c r="S143" s="81"/>
      <c r="T143" s="81"/>
      <c r="U143" s="81"/>
      <c r="V143" s="81"/>
      <c r="W143" s="81"/>
    </row>
    <row r="144" spans="1:23" s="5" customFormat="1" ht="15.4" customHeight="1">
      <c r="A144" s="296"/>
      <c r="B144" s="296"/>
      <c r="C144" s="296"/>
      <c r="D144" s="450"/>
      <c r="E144" s="419"/>
      <c r="F144" s="419"/>
      <c r="G144" s="455"/>
      <c r="H144" s="433"/>
      <c r="I144" s="120" t="s">
        <v>282</v>
      </c>
      <c r="J144" s="107"/>
      <c r="K144" s="107"/>
      <c r="L144" s="460">
        <v>15000</v>
      </c>
      <c r="M144" s="460"/>
      <c r="N144" s="107" t="s">
        <v>212</v>
      </c>
      <c r="O144" s="327">
        <v>6</v>
      </c>
      <c r="P144" s="327" t="s">
        <v>276</v>
      </c>
      <c r="Q144" s="96" t="s">
        <v>215</v>
      </c>
      <c r="R144" s="189">
        <f>L144*O144</f>
        <v>90000</v>
      </c>
      <c r="S144" s="81"/>
      <c r="T144" s="81"/>
      <c r="U144" s="81"/>
      <c r="V144" s="81"/>
      <c r="W144" s="81"/>
    </row>
    <row r="145" spans="1:23" s="5" customFormat="1" ht="15.4" customHeight="1">
      <c r="A145" s="296"/>
      <c r="B145" s="296"/>
      <c r="C145" s="296"/>
      <c r="D145" s="450"/>
      <c r="E145" s="419"/>
      <c r="F145" s="419"/>
      <c r="G145" s="455"/>
      <c r="H145" s="433"/>
      <c r="I145" s="120"/>
      <c r="J145" s="107"/>
      <c r="K145" s="107"/>
      <c r="L145" s="327"/>
      <c r="M145" s="327"/>
      <c r="N145" s="107"/>
      <c r="O145" s="327"/>
      <c r="P145" s="327"/>
      <c r="Q145" s="96"/>
      <c r="R145" s="189"/>
      <c r="S145" s="81"/>
      <c r="T145" s="81"/>
      <c r="U145" s="81"/>
      <c r="V145" s="81"/>
      <c r="W145" s="81"/>
    </row>
    <row r="146" spans="1:23" s="5" customFormat="1" ht="15.4" customHeight="1">
      <c r="A146" s="296"/>
      <c r="B146" s="296"/>
      <c r="C146" s="296"/>
      <c r="D146" s="450"/>
      <c r="E146" s="419"/>
      <c r="F146" s="419"/>
      <c r="G146" s="455"/>
      <c r="H146" s="433"/>
      <c r="I146" s="120" t="s">
        <v>285</v>
      </c>
      <c r="J146" s="107"/>
      <c r="K146" s="107"/>
      <c r="L146" s="327"/>
      <c r="M146" s="327"/>
      <c r="N146" s="107"/>
      <c r="O146" s="327"/>
      <c r="P146" s="327"/>
      <c r="Q146" s="96"/>
      <c r="R146" s="189"/>
      <c r="S146" s="81"/>
      <c r="T146" s="81"/>
      <c r="U146" s="81"/>
      <c r="V146" s="81"/>
      <c r="W146" s="81"/>
    </row>
    <row r="147" spans="1:23" s="5" customFormat="1" ht="15.4" customHeight="1">
      <c r="A147" s="296"/>
      <c r="B147" s="296"/>
      <c r="C147" s="296"/>
      <c r="D147" s="450"/>
      <c r="E147" s="419"/>
      <c r="F147" s="419"/>
      <c r="G147" s="455"/>
      <c r="H147" s="433"/>
      <c r="I147" s="120" t="s">
        <v>294</v>
      </c>
      <c r="J147" s="236">
        <v>40</v>
      </c>
      <c r="K147" s="216" t="s">
        <v>277</v>
      </c>
      <c r="L147" s="216" t="s">
        <v>283</v>
      </c>
      <c r="M147" s="326" t="s">
        <v>284</v>
      </c>
      <c r="N147" s="216" t="s">
        <v>212</v>
      </c>
      <c r="O147" s="339">
        <v>12</v>
      </c>
      <c r="P147" s="326" t="s">
        <v>64</v>
      </c>
      <c r="Q147" s="217" t="s">
        <v>215</v>
      </c>
      <c r="R147" s="162">
        <f>J147*60*300*O147</f>
        <v>8640000</v>
      </c>
      <c r="S147" s="81"/>
      <c r="T147" s="81">
        <v>3000000</v>
      </c>
      <c r="U147" s="81"/>
      <c r="V147" s="81"/>
      <c r="W147" s="81"/>
    </row>
    <row r="148" spans="1:23" s="5" customFormat="1" ht="15.4" customHeight="1">
      <c r="A148" s="296"/>
      <c r="B148" s="296"/>
      <c r="C148" s="296"/>
      <c r="D148" s="450"/>
      <c r="E148" s="420"/>
      <c r="F148" s="420"/>
      <c r="G148" s="455"/>
      <c r="H148" s="433"/>
      <c r="I148" s="120" t="s">
        <v>286</v>
      </c>
      <c r="J148" s="107">
        <v>350</v>
      </c>
      <c r="K148" s="107" t="s">
        <v>212</v>
      </c>
      <c r="L148" s="107">
        <v>300</v>
      </c>
      <c r="M148" s="107" t="s">
        <v>278</v>
      </c>
      <c r="N148" s="107" t="s">
        <v>212</v>
      </c>
      <c r="O148" s="327">
        <v>12</v>
      </c>
      <c r="P148" s="327" t="s">
        <v>214</v>
      </c>
      <c r="Q148" s="96" t="s">
        <v>215</v>
      </c>
      <c r="R148" s="189">
        <f>J148*L148*O148</f>
        <v>1260000</v>
      </c>
      <c r="S148" s="81"/>
      <c r="T148" s="81"/>
      <c r="U148" s="81"/>
      <c r="V148" s="81"/>
      <c r="W148" s="81"/>
    </row>
    <row r="149" spans="1:23" s="5" customFormat="1" ht="15.4" customHeight="1">
      <c r="A149" s="296"/>
      <c r="B149" s="296"/>
      <c r="C149" s="296"/>
      <c r="D149" s="450"/>
      <c r="E149" s="418">
        <v>0</v>
      </c>
      <c r="F149" s="418">
        <f>R157/1000</f>
        <v>9160</v>
      </c>
      <c r="G149" s="455"/>
      <c r="H149" s="433"/>
      <c r="I149" s="120" t="s">
        <v>293</v>
      </c>
      <c r="J149" s="107">
        <v>200</v>
      </c>
      <c r="K149" s="107" t="s">
        <v>221</v>
      </c>
      <c r="L149" s="107">
        <v>300</v>
      </c>
      <c r="M149" s="107" t="s">
        <v>278</v>
      </c>
      <c r="N149" s="107" t="s">
        <v>221</v>
      </c>
      <c r="O149" s="327">
        <v>12</v>
      </c>
      <c r="P149" s="327" t="s">
        <v>223</v>
      </c>
      <c r="Q149" s="96" t="s">
        <v>224</v>
      </c>
      <c r="R149" s="189">
        <f>J149*L149*O149</f>
        <v>720000</v>
      </c>
      <c r="S149" s="81"/>
      <c r="T149" s="9"/>
      <c r="U149" s="81"/>
      <c r="V149" s="81"/>
      <c r="W149" s="81"/>
    </row>
    <row r="150" spans="1:23" s="5" customFormat="1" ht="15.4" customHeight="1">
      <c r="A150" s="296"/>
      <c r="B150" s="296"/>
      <c r="C150" s="296"/>
      <c r="D150" s="450"/>
      <c r="E150" s="419"/>
      <c r="F150" s="419"/>
      <c r="G150" s="455"/>
      <c r="H150" s="433"/>
      <c r="I150" s="120" t="s">
        <v>292</v>
      </c>
      <c r="J150" s="216">
        <v>110</v>
      </c>
      <c r="K150" s="216" t="s">
        <v>221</v>
      </c>
      <c r="L150" s="216">
        <v>300</v>
      </c>
      <c r="M150" s="326" t="s">
        <v>278</v>
      </c>
      <c r="N150" s="326" t="s">
        <v>277</v>
      </c>
      <c r="O150" s="326">
        <v>12</v>
      </c>
      <c r="P150" s="326" t="s">
        <v>279</v>
      </c>
      <c r="Q150" s="217" t="s">
        <v>224</v>
      </c>
      <c r="R150" s="188">
        <f>J150*L150*O150</f>
        <v>396000</v>
      </c>
      <c r="S150" s="81"/>
      <c r="T150" s="9"/>
      <c r="U150" s="81"/>
      <c r="V150" s="81"/>
      <c r="W150" s="81"/>
    </row>
    <row r="151" spans="1:23" s="5" customFormat="1" ht="15.4" customHeight="1">
      <c r="A151" s="296"/>
      <c r="B151" s="296"/>
      <c r="C151" s="296"/>
      <c r="D151" s="450"/>
      <c r="E151" s="419"/>
      <c r="F151" s="419"/>
      <c r="G151" s="455"/>
      <c r="H151" s="433"/>
      <c r="I151" s="120"/>
      <c r="J151" s="216"/>
      <c r="K151" s="216"/>
      <c r="L151" s="216"/>
      <c r="M151" s="326"/>
      <c r="N151" s="326"/>
      <c r="O151" s="326"/>
      <c r="P151" s="326"/>
      <c r="Q151" s="217"/>
      <c r="R151" s="188"/>
      <c r="S151" s="81"/>
      <c r="T151" s="9"/>
      <c r="U151" s="81"/>
      <c r="V151" s="81"/>
      <c r="W151" s="81"/>
    </row>
    <row r="152" spans="1:23" s="5" customFormat="1" ht="15.4" customHeight="1">
      <c r="A152" s="296"/>
      <c r="B152" s="296"/>
      <c r="C152" s="296"/>
      <c r="D152" s="450"/>
      <c r="E152" s="419"/>
      <c r="F152" s="419"/>
      <c r="G152" s="455"/>
      <c r="H152" s="433"/>
      <c r="I152" s="120" t="s">
        <v>287</v>
      </c>
      <c r="J152" s="216"/>
      <c r="K152" s="216"/>
      <c r="L152" s="216"/>
      <c r="M152" s="326"/>
      <c r="N152" s="326"/>
      <c r="O152" s="326"/>
      <c r="P152" s="326"/>
      <c r="Q152" s="217"/>
      <c r="R152" s="188"/>
      <c r="S152" s="81"/>
      <c r="T152" s="9"/>
      <c r="U152" s="81"/>
      <c r="V152" s="81"/>
      <c r="W152" s="81"/>
    </row>
    <row r="153" spans="1:23" s="5" customFormat="1" ht="15.4" customHeight="1">
      <c r="A153" s="296"/>
      <c r="B153" s="296"/>
      <c r="C153" s="296"/>
      <c r="D153" s="450"/>
      <c r="E153" s="419"/>
      <c r="F153" s="419"/>
      <c r="G153" s="455"/>
      <c r="H153" s="433"/>
      <c r="I153" s="120" t="s">
        <v>288</v>
      </c>
      <c r="J153" s="216"/>
      <c r="K153" s="216"/>
      <c r="L153" s="236">
        <v>100000</v>
      </c>
      <c r="M153" s="326"/>
      <c r="N153" s="326" t="s">
        <v>277</v>
      </c>
      <c r="O153" s="326">
        <v>4</v>
      </c>
      <c r="P153" s="326" t="s">
        <v>289</v>
      </c>
      <c r="Q153" s="217" t="s">
        <v>224</v>
      </c>
      <c r="R153" s="162">
        <f>L153*O153</f>
        <v>400000</v>
      </c>
      <c r="S153" s="81"/>
      <c r="T153" s="9"/>
      <c r="U153" s="81"/>
      <c r="V153" s="81"/>
      <c r="W153" s="81"/>
    </row>
    <row r="154" spans="1:23" s="5" customFormat="1" ht="15.4" customHeight="1">
      <c r="A154" s="296"/>
      <c r="B154" s="296"/>
      <c r="C154" s="296"/>
      <c r="D154" s="450"/>
      <c r="E154" s="419"/>
      <c r="F154" s="419"/>
      <c r="G154" s="455"/>
      <c r="H154" s="433"/>
      <c r="I154" s="120" t="s">
        <v>290</v>
      </c>
      <c r="J154" s="236">
        <v>3000</v>
      </c>
      <c r="K154" s="216" t="s">
        <v>221</v>
      </c>
      <c r="L154" s="216">
        <v>10</v>
      </c>
      <c r="M154" s="326" t="s">
        <v>291</v>
      </c>
      <c r="N154" s="326" t="s">
        <v>277</v>
      </c>
      <c r="O154" s="326">
        <v>4</v>
      </c>
      <c r="P154" s="326" t="s">
        <v>289</v>
      </c>
      <c r="Q154" s="217" t="s">
        <v>224</v>
      </c>
      <c r="R154" s="162">
        <f>J154*L154*O154</f>
        <v>120000</v>
      </c>
      <c r="S154" s="81"/>
      <c r="T154" s="9"/>
      <c r="U154" s="81"/>
      <c r="V154" s="81"/>
      <c r="W154" s="81"/>
    </row>
    <row r="155" spans="1:23" s="5" customFormat="1" ht="15.4" customHeight="1">
      <c r="A155" s="296"/>
      <c r="B155" s="296"/>
      <c r="C155" s="296"/>
      <c r="D155" s="450"/>
      <c r="E155" s="419"/>
      <c r="F155" s="419"/>
      <c r="G155" s="455"/>
      <c r="H155" s="433"/>
      <c r="I155" s="120"/>
      <c r="R155" s="340"/>
      <c r="S155" s="81"/>
      <c r="T155" s="9"/>
      <c r="U155" s="81"/>
      <c r="V155" s="81"/>
      <c r="W155" s="81"/>
    </row>
    <row r="156" spans="1:23" s="5" customFormat="1" ht="15.4" customHeight="1">
      <c r="A156" s="296"/>
      <c r="B156" s="296"/>
      <c r="C156" s="296"/>
      <c r="D156" s="450"/>
      <c r="E156" s="419"/>
      <c r="F156" s="419"/>
      <c r="G156" s="455"/>
      <c r="H156" s="433"/>
      <c r="I156" s="120"/>
      <c r="J156" s="107"/>
      <c r="K156" s="107"/>
      <c r="L156" s="107"/>
      <c r="M156" s="107"/>
      <c r="N156" s="107"/>
      <c r="O156" s="107"/>
      <c r="P156" s="107"/>
      <c r="Q156" s="328" t="s">
        <v>227</v>
      </c>
      <c r="R156" s="190">
        <f>SUM(R143:R150)-R147</f>
        <v>2466000</v>
      </c>
      <c r="S156" s="81"/>
      <c r="T156" s="9"/>
      <c r="U156" s="81"/>
      <c r="V156" s="81"/>
      <c r="W156" s="81"/>
    </row>
    <row r="157" spans="1:23" s="5" customFormat="1" ht="12.75" customHeight="1">
      <c r="A157" s="296"/>
      <c r="B157" s="296"/>
      <c r="C157" s="296"/>
      <c r="D157" s="451"/>
      <c r="E157" s="420"/>
      <c r="F157" s="420"/>
      <c r="G157" s="456"/>
      <c r="H157" s="429"/>
      <c r="I157" s="152"/>
      <c r="J157" s="329"/>
      <c r="K157" s="329"/>
      <c r="L157" s="329"/>
      <c r="M157" s="329"/>
      <c r="N157" s="178"/>
      <c r="O157" s="178"/>
      <c r="P157" s="178"/>
      <c r="Q157" s="179"/>
      <c r="R157" s="221">
        <f>R147+R153+R154</f>
        <v>9160000</v>
      </c>
      <c r="S157" s="81"/>
      <c r="T157" s="9"/>
      <c r="U157" s="81"/>
      <c r="V157" s="81"/>
      <c r="W157" s="81"/>
    </row>
    <row r="158" spans="1:23" s="5" customFormat="1" ht="18" customHeight="1">
      <c r="A158" s="296"/>
      <c r="B158" s="296"/>
      <c r="C158" s="296"/>
      <c r="D158" s="449" t="s">
        <v>210</v>
      </c>
      <c r="E158" s="418">
        <v>8408</v>
      </c>
      <c r="F158" s="418">
        <f>R164/1000</f>
        <v>5842</v>
      </c>
      <c r="G158" s="454">
        <f>F158+F161-E158-E161</f>
        <v>-100</v>
      </c>
      <c r="H158" s="428">
        <f>G158/E158</f>
        <v>-1.1893434823977164E-2</v>
      </c>
      <c r="I158" s="120" t="s">
        <v>211</v>
      </c>
      <c r="J158" s="107">
        <v>2640</v>
      </c>
      <c r="K158" s="107" t="s">
        <v>212</v>
      </c>
      <c r="L158" s="107">
        <v>100</v>
      </c>
      <c r="M158" s="107" t="s">
        <v>213</v>
      </c>
      <c r="N158" s="107" t="s">
        <v>212</v>
      </c>
      <c r="O158" s="327">
        <v>9</v>
      </c>
      <c r="P158" s="327" t="s">
        <v>214</v>
      </c>
      <c r="Q158" s="96" t="s">
        <v>215</v>
      </c>
      <c r="R158" s="189">
        <f>J158*L158*O158</f>
        <v>2376000</v>
      </c>
      <c r="S158" s="81"/>
      <c r="T158" s="81"/>
      <c r="U158" s="81"/>
      <c r="V158" s="81"/>
      <c r="W158" s="81"/>
    </row>
    <row r="159" spans="1:23" s="5" customFormat="1" ht="15.4" customHeight="1">
      <c r="A159" s="296"/>
      <c r="B159" s="296"/>
      <c r="C159" s="296"/>
      <c r="D159" s="450"/>
      <c r="E159" s="419"/>
      <c r="F159" s="419"/>
      <c r="G159" s="455"/>
      <c r="H159" s="433"/>
      <c r="I159" s="120" t="s">
        <v>216</v>
      </c>
      <c r="J159" s="216">
        <v>300000</v>
      </c>
      <c r="K159" s="216"/>
      <c r="L159" s="216"/>
      <c r="M159" s="216"/>
      <c r="N159" s="216" t="s">
        <v>212</v>
      </c>
      <c r="O159" s="238">
        <v>5</v>
      </c>
      <c r="P159" s="216" t="s">
        <v>217</v>
      </c>
      <c r="Q159" s="217" t="s">
        <v>215</v>
      </c>
      <c r="R159" s="188">
        <f>J159*O159</f>
        <v>1500000</v>
      </c>
      <c r="S159" s="81"/>
      <c r="T159" s="81"/>
      <c r="U159" s="81"/>
      <c r="V159" s="81"/>
      <c r="W159" s="81"/>
    </row>
    <row r="160" spans="1:23" s="5" customFormat="1" ht="15.4" customHeight="1">
      <c r="A160" s="296"/>
      <c r="B160" s="296"/>
      <c r="C160" s="296"/>
      <c r="D160" s="450"/>
      <c r="E160" s="420"/>
      <c r="F160" s="420"/>
      <c r="G160" s="455"/>
      <c r="H160" s="433"/>
      <c r="I160" s="120" t="s">
        <v>218</v>
      </c>
      <c r="J160" s="107">
        <v>8000</v>
      </c>
      <c r="K160" s="107" t="s">
        <v>212</v>
      </c>
      <c r="L160" s="107">
        <v>1</v>
      </c>
      <c r="M160" s="107" t="s">
        <v>219</v>
      </c>
      <c r="N160" s="107" t="s">
        <v>212</v>
      </c>
      <c r="O160" s="107">
        <v>9</v>
      </c>
      <c r="P160" s="107" t="s">
        <v>214</v>
      </c>
      <c r="Q160" s="96" t="s">
        <v>215</v>
      </c>
      <c r="R160" s="189">
        <f>J160*L160*O160</f>
        <v>72000</v>
      </c>
      <c r="S160" s="81"/>
      <c r="T160" s="81"/>
      <c r="U160" s="81"/>
      <c r="V160" s="81"/>
      <c r="W160" s="81"/>
    </row>
    <row r="161" spans="1:23" s="5" customFormat="1" ht="15.4" customHeight="1">
      <c r="A161" s="296"/>
      <c r="B161" s="296"/>
      <c r="C161" s="296"/>
      <c r="D161" s="450"/>
      <c r="E161" s="323"/>
      <c r="F161" s="418">
        <f>R165/1000</f>
        <v>2466</v>
      </c>
      <c r="G161" s="455"/>
      <c r="H161" s="433"/>
      <c r="I161" s="120" t="s">
        <v>220</v>
      </c>
      <c r="J161" s="107">
        <v>15000</v>
      </c>
      <c r="K161" s="107" t="s">
        <v>221</v>
      </c>
      <c r="L161" s="107">
        <v>1</v>
      </c>
      <c r="M161" s="107" t="s">
        <v>222</v>
      </c>
      <c r="N161" s="107" t="s">
        <v>221</v>
      </c>
      <c r="O161" s="107">
        <v>12</v>
      </c>
      <c r="P161" s="107" t="s">
        <v>223</v>
      </c>
      <c r="Q161" s="96" t="s">
        <v>224</v>
      </c>
      <c r="R161" s="189">
        <f>J161*L161*O161</f>
        <v>180000</v>
      </c>
      <c r="S161" s="81"/>
      <c r="T161" s="9"/>
      <c r="U161" s="81"/>
      <c r="V161" s="81"/>
      <c r="W161" s="81"/>
    </row>
    <row r="162" spans="1:23" s="5" customFormat="1" ht="15.4" customHeight="1">
      <c r="A162" s="296"/>
      <c r="B162" s="296"/>
      <c r="C162" s="296"/>
      <c r="D162" s="450"/>
      <c r="E162" s="325"/>
      <c r="F162" s="419"/>
      <c r="G162" s="455"/>
      <c r="H162" s="433"/>
      <c r="I162" s="120" t="s">
        <v>225</v>
      </c>
      <c r="J162" s="216">
        <v>2090000</v>
      </c>
      <c r="K162" s="216" t="s">
        <v>221</v>
      </c>
      <c r="L162" s="216">
        <v>2</v>
      </c>
      <c r="M162" s="216" t="s">
        <v>226</v>
      </c>
      <c r="N162" s="216"/>
      <c r="O162" s="216"/>
      <c r="P162" s="216"/>
      <c r="Q162" s="217" t="s">
        <v>224</v>
      </c>
      <c r="R162" s="188">
        <f>J162*L162-R163</f>
        <v>1714000</v>
      </c>
      <c r="S162" s="81"/>
      <c r="T162" s="9"/>
      <c r="U162" s="81"/>
      <c r="V162" s="81"/>
      <c r="W162" s="81"/>
    </row>
    <row r="163" spans="1:23" s="5" customFormat="1" ht="15.4" customHeight="1">
      <c r="A163" s="296"/>
      <c r="B163" s="296"/>
      <c r="C163" s="296"/>
      <c r="D163" s="450"/>
      <c r="E163" s="325"/>
      <c r="F163" s="419"/>
      <c r="G163" s="455"/>
      <c r="H163" s="433"/>
      <c r="I163" s="120"/>
      <c r="J163" s="216"/>
      <c r="K163" s="216"/>
      <c r="L163" s="216"/>
      <c r="M163" s="216"/>
      <c r="N163" s="216"/>
      <c r="O163" s="216"/>
      <c r="P163" s="216"/>
      <c r="Q163" s="217"/>
      <c r="R163" s="162">
        <v>2466000</v>
      </c>
      <c r="S163" s="81"/>
      <c r="T163" s="9">
        <v>1000000</v>
      </c>
      <c r="U163" s="81"/>
      <c r="V163" s="81"/>
      <c r="W163" s="81"/>
    </row>
    <row r="164" spans="1:23" s="5" customFormat="1" ht="15.4" customHeight="1">
      <c r="A164" s="296"/>
      <c r="B164" s="296"/>
      <c r="C164" s="296"/>
      <c r="D164" s="450"/>
      <c r="E164" s="325"/>
      <c r="F164" s="419"/>
      <c r="G164" s="455"/>
      <c r="H164" s="433"/>
      <c r="I164" s="120"/>
      <c r="J164" s="107"/>
      <c r="K164" s="107"/>
      <c r="L164" s="107"/>
      <c r="M164" s="107"/>
      <c r="N164" s="107"/>
      <c r="O164" s="107"/>
      <c r="P164" s="107"/>
      <c r="Q164" s="328" t="s">
        <v>227</v>
      </c>
      <c r="R164" s="190">
        <f>SUM(R158:R162)</f>
        <v>5842000</v>
      </c>
      <c r="S164" s="81"/>
      <c r="T164" s="9"/>
      <c r="U164" s="81"/>
      <c r="V164" s="81"/>
      <c r="W164" s="81"/>
    </row>
    <row r="165" spans="1:23" s="5" customFormat="1" ht="15.75" customHeight="1">
      <c r="A165" s="296"/>
      <c r="B165" s="296"/>
      <c r="C165" s="296"/>
      <c r="D165" s="451"/>
      <c r="E165" s="324"/>
      <c r="F165" s="420"/>
      <c r="G165" s="456"/>
      <c r="H165" s="429"/>
      <c r="I165" s="152"/>
      <c r="J165" s="329"/>
      <c r="K165" s="329"/>
      <c r="L165" s="329"/>
      <c r="M165" s="329"/>
      <c r="N165" s="178"/>
      <c r="O165" s="178"/>
      <c r="P165" s="178"/>
      <c r="Q165" s="179"/>
      <c r="R165" s="221">
        <f>R163</f>
        <v>2466000</v>
      </c>
      <c r="S165" s="81"/>
      <c r="T165" s="9"/>
      <c r="U165" s="81"/>
      <c r="V165" s="81"/>
      <c r="W165" s="81"/>
    </row>
    <row r="166" spans="1:23" s="5" customFormat="1" ht="18.75" customHeight="1">
      <c r="A166" s="296"/>
      <c r="B166" s="296"/>
      <c r="C166" s="296"/>
      <c r="D166" s="422" t="s">
        <v>228</v>
      </c>
      <c r="E166" s="246">
        <v>1000</v>
      </c>
      <c r="F166" s="246">
        <f>R167/1000</f>
        <v>900</v>
      </c>
      <c r="G166" s="444">
        <f>F166+F167-E166-E167</f>
        <v>-130</v>
      </c>
      <c r="H166" s="446">
        <f>G166/E166:E166</f>
        <v>-0.13</v>
      </c>
      <c r="I166" s="149" t="s">
        <v>229</v>
      </c>
      <c r="J166" s="111">
        <v>25000</v>
      </c>
      <c r="K166" s="227" t="s">
        <v>230</v>
      </c>
      <c r="L166" s="111">
        <v>3</v>
      </c>
      <c r="M166" s="111" t="s">
        <v>231</v>
      </c>
      <c r="N166" s="150" t="s">
        <v>230</v>
      </c>
      <c r="O166" s="172">
        <v>12</v>
      </c>
      <c r="P166" s="173" t="s">
        <v>232</v>
      </c>
      <c r="Q166" s="110" t="s">
        <v>233</v>
      </c>
      <c r="R166" s="174">
        <f>J166*L166*O166</f>
        <v>900000</v>
      </c>
      <c r="S166" s="81"/>
      <c r="T166" s="81"/>
      <c r="U166" s="81"/>
      <c r="V166" s="81"/>
      <c r="W166" s="81"/>
    </row>
    <row r="167" spans="1:23" s="5" customFormat="1" ht="20.25" customHeight="1">
      <c r="A167" s="296"/>
      <c r="B167" s="296"/>
      <c r="C167" s="296"/>
      <c r="D167" s="423"/>
      <c r="E167" s="273">
        <v>30</v>
      </c>
      <c r="F167" s="273"/>
      <c r="G167" s="445"/>
      <c r="H167" s="447"/>
      <c r="I167" s="168"/>
      <c r="J167" s="169"/>
      <c r="K167" s="170"/>
      <c r="L167" s="170"/>
      <c r="M167" s="170"/>
      <c r="N167" s="170"/>
      <c r="O167" s="170"/>
      <c r="P167" s="170"/>
      <c r="Q167" s="170" t="s">
        <v>234</v>
      </c>
      <c r="R167" s="171">
        <f>SUM(R166:R166)</f>
        <v>900000</v>
      </c>
      <c r="S167" s="81"/>
      <c r="T167" s="81"/>
      <c r="U167" s="81"/>
      <c r="V167" s="81"/>
      <c r="W167" s="81"/>
    </row>
    <row r="168" spans="1:23" s="5" customFormat="1" ht="16.5" customHeight="1">
      <c r="A168" s="296"/>
      <c r="B168" s="296"/>
      <c r="C168" s="296"/>
      <c r="D168" s="422" t="s">
        <v>235</v>
      </c>
      <c r="E168" s="418">
        <v>3000</v>
      </c>
      <c r="F168" s="418">
        <f>R170/1000</f>
        <v>1152</v>
      </c>
      <c r="G168" s="444">
        <f>F168+F170-E168-E170</f>
        <v>0</v>
      </c>
      <c r="H168" s="446">
        <f>G168/E168</f>
        <v>0</v>
      </c>
      <c r="I168" s="149" t="s">
        <v>236</v>
      </c>
      <c r="J168" s="111">
        <v>25000</v>
      </c>
      <c r="K168" s="227" t="s">
        <v>206</v>
      </c>
      <c r="L168" s="111">
        <v>10</v>
      </c>
      <c r="M168" s="111" t="s">
        <v>207</v>
      </c>
      <c r="N168" s="150" t="s">
        <v>206</v>
      </c>
      <c r="O168" s="172">
        <v>12</v>
      </c>
      <c r="P168" s="173" t="s">
        <v>237</v>
      </c>
      <c r="Q168" s="110" t="s">
        <v>238</v>
      </c>
      <c r="R168" s="174">
        <f>J168*L168*O168-R169</f>
        <v>1152000</v>
      </c>
      <c r="S168" s="81"/>
      <c r="T168" s="81"/>
      <c r="U168" s="81"/>
      <c r="V168" s="81"/>
      <c r="W168" s="81"/>
    </row>
    <row r="169" spans="1:23" s="5" customFormat="1" ht="16.5" customHeight="1">
      <c r="A169" s="296"/>
      <c r="B169" s="296"/>
      <c r="C169" s="296"/>
      <c r="D169" s="431"/>
      <c r="E169" s="420"/>
      <c r="F169" s="420"/>
      <c r="G169" s="452"/>
      <c r="H169" s="453"/>
      <c r="I169" s="120"/>
      <c r="J169" s="107"/>
      <c r="K169" s="107"/>
      <c r="L169" s="107"/>
      <c r="M169" s="107"/>
      <c r="N169" s="166"/>
      <c r="O169" s="175"/>
      <c r="P169" s="176"/>
      <c r="Q169" s="96"/>
      <c r="R169" s="206">
        <v>1848000</v>
      </c>
      <c r="S169" s="81"/>
      <c r="T169" s="81"/>
      <c r="U169" s="81"/>
      <c r="V169" s="81"/>
      <c r="W169" s="81"/>
    </row>
    <row r="170" spans="1:23" s="5" customFormat="1" ht="16.5" customHeight="1">
      <c r="A170" s="296"/>
      <c r="B170" s="296"/>
      <c r="C170" s="296"/>
      <c r="D170" s="431"/>
      <c r="E170" s="418">
        <v>0</v>
      </c>
      <c r="F170" s="418">
        <f>R171/1000</f>
        <v>1848</v>
      </c>
      <c r="G170" s="452"/>
      <c r="H170" s="453"/>
      <c r="I170" s="120"/>
      <c r="J170" s="107"/>
      <c r="K170" s="107"/>
      <c r="L170" s="107"/>
      <c r="M170" s="107"/>
      <c r="N170" s="166"/>
      <c r="O170" s="175"/>
      <c r="P170" s="176"/>
      <c r="Q170" s="200" t="s">
        <v>209</v>
      </c>
      <c r="R170" s="139">
        <f>SUM(R168)</f>
        <v>1152000</v>
      </c>
      <c r="S170" s="81"/>
      <c r="T170" s="81"/>
      <c r="U170" s="81"/>
      <c r="V170" s="81"/>
      <c r="W170" s="81"/>
    </row>
    <row r="171" spans="1:23" s="5" customFormat="1" ht="16.5" customHeight="1">
      <c r="A171" s="296"/>
      <c r="B171" s="259"/>
      <c r="C171" s="259"/>
      <c r="D171" s="423"/>
      <c r="E171" s="420"/>
      <c r="F171" s="420"/>
      <c r="G171" s="445"/>
      <c r="H171" s="447"/>
      <c r="I171" s="152"/>
      <c r="J171" s="178"/>
      <c r="K171" s="178"/>
      <c r="L171" s="329"/>
      <c r="M171" s="329"/>
      <c r="N171" s="154"/>
      <c r="O171" s="179"/>
      <c r="P171" s="180"/>
      <c r="Q171" s="170"/>
      <c r="R171" s="109">
        <f>SUM(R169)</f>
        <v>1848000</v>
      </c>
      <c r="S171" s="81"/>
      <c r="T171" s="81"/>
      <c r="U171" s="81"/>
      <c r="V171" s="81"/>
      <c r="W171" s="81"/>
    </row>
    <row r="172" spans="1:23" ht="16.5" customHeight="1">
      <c r="A172" s="212" t="s">
        <v>95</v>
      </c>
      <c r="B172" s="212"/>
      <c r="C172" s="297" t="s">
        <v>96</v>
      </c>
      <c r="D172" s="297"/>
      <c r="E172" s="298"/>
      <c r="F172" s="298"/>
      <c r="G172" s="299"/>
      <c r="H172" s="300"/>
      <c r="I172" s="159"/>
      <c r="J172" s="159"/>
      <c r="K172" s="159"/>
      <c r="L172" s="159"/>
      <c r="M172" s="159"/>
      <c r="N172" s="159"/>
      <c r="O172" s="159"/>
      <c r="P172" s="159"/>
      <c r="Q172" s="159"/>
      <c r="R172" s="160" t="s">
        <v>0</v>
      </c>
    </row>
    <row r="173" spans="1:23" s="5" customFormat="1" ht="19.5" customHeight="1">
      <c r="A173" s="434" t="s">
        <v>97</v>
      </c>
      <c r="B173" s="434" t="s">
        <v>98</v>
      </c>
      <c r="C173" s="434" t="s">
        <v>99</v>
      </c>
      <c r="D173" s="434" t="s">
        <v>1</v>
      </c>
      <c r="E173" s="301" t="s">
        <v>266</v>
      </c>
      <c r="F173" s="301" t="s">
        <v>267</v>
      </c>
      <c r="G173" s="442" t="s">
        <v>100</v>
      </c>
      <c r="H173" s="443"/>
      <c r="I173" s="436" t="s">
        <v>101</v>
      </c>
      <c r="J173" s="437"/>
      <c r="K173" s="437"/>
      <c r="L173" s="437"/>
      <c r="M173" s="437"/>
      <c r="N173" s="437"/>
      <c r="O173" s="437"/>
      <c r="P173" s="437"/>
      <c r="Q173" s="437"/>
      <c r="R173" s="438"/>
      <c r="S173" s="81"/>
      <c r="T173" s="81"/>
      <c r="U173" s="81"/>
      <c r="V173" s="81"/>
      <c r="W173" s="81"/>
    </row>
    <row r="174" spans="1:23" s="5" customFormat="1" ht="19.5" customHeight="1">
      <c r="A174" s="435"/>
      <c r="B174" s="435"/>
      <c r="C174" s="435"/>
      <c r="D174" s="435"/>
      <c r="E174" s="301" t="s">
        <v>265</v>
      </c>
      <c r="F174" s="301" t="s">
        <v>268</v>
      </c>
      <c r="G174" s="140" t="s">
        <v>2</v>
      </c>
      <c r="H174" s="302" t="s">
        <v>102</v>
      </c>
      <c r="I174" s="439"/>
      <c r="J174" s="440"/>
      <c r="K174" s="440"/>
      <c r="L174" s="440"/>
      <c r="M174" s="440"/>
      <c r="N174" s="440"/>
      <c r="O174" s="440"/>
      <c r="P174" s="440"/>
      <c r="Q174" s="440"/>
      <c r="R174" s="441"/>
      <c r="S174" s="81"/>
      <c r="T174" s="81"/>
      <c r="U174" s="81"/>
      <c r="V174" s="81"/>
      <c r="W174" s="81"/>
    </row>
    <row r="175" spans="1:23" s="5" customFormat="1" ht="14.1" customHeight="1">
      <c r="A175" s="296"/>
      <c r="B175" s="296"/>
      <c r="C175" s="296"/>
      <c r="D175" s="422" t="s">
        <v>239</v>
      </c>
      <c r="E175" s="418">
        <v>1480</v>
      </c>
      <c r="F175" s="418">
        <f>R189/1000</f>
        <v>660</v>
      </c>
      <c r="G175" s="426">
        <f>F175+F183-E175-E183</f>
        <v>4190</v>
      </c>
      <c r="H175" s="428">
        <f>G175/E175:E190</f>
        <v>2.8310810810810811</v>
      </c>
      <c r="I175" s="120" t="s">
        <v>240</v>
      </c>
      <c r="J175" s="225">
        <v>10000</v>
      </c>
      <c r="K175" s="225" t="s">
        <v>20</v>
      </c>
      <c r="L175" s="181">
        <v>33</v>
      </c>
      <c r="M175" s="181" t="s">
        <v>67</v>
      </c>
      <c r="N175" s="181" t="s">
        <v>20</v>
      </c>
      <c r="O175" s="245">
        <v>1</v>
      </c>
      <c r="P175" s="225" t="s">
        <v>21</v>
      </c>
      <c r="Q175" s="239" t="s">
        <v>4</v>
      </c>
      <c r="R175" s="206">
        <f>J175*L175*O175</f>
        <v>330000</v>
      </c>
      <c r="S175" s="81"/>
      <c r="T175" s="81"/>
      <c r="U175" s="81"/>
      <c r="V175" s="81"/>
      <c r="W175" s="81"/>
    </row>
    <row r="176" spans="1:23" s="5" customFormat="1" ht="14.1" customHeight="1">
      <c r="A176" s="296"/>
      <c r="B176" s="296"/>
      <c r="C176" s="296"/>
      <c r="D176" s="431"/>
      <c r="E176" s="419"/>
      <c r="F176" s="419"/>
      <c r="G176" s="432"/>
      <c r="H176" s="433"/>
      <c r="I176" s="120" t="s">
        <v>66</v>
      </c>
      <c r="J176" s="225">
        <v>10000</v>
      </c>
      <c r="K176" s="225" t="s">
        <v>20</v>
      </c>
      <c r="L176" s="181">
        <v>65</v>
      </c>
      <c r="M176" s="181" t="s">
        <v>67</v>
      </c>
      <c r="N176" s="181" t="s">
        <v>20</v>
      </c>
      <c r="O176" s="245">
        <v>1</v>
      </c>
      <c r="P176" s="225" t="s">
        <v>21</v>
      </c>
      <c r="Q176" s="239" t="s">
        <v>4</v>
      </c>
      <c r="R176" s="206">
        <f>J176*L176*O176</f>
        <v>650000</v>
      </c>
      <c r="S176" s="81"/>
      <c r="T176" s="81"/>
      <c r="U176" s="81"/>
      <c r="V176" s="81"/>
      <c r="W176" s="81"/>
    </row>
    <row r="177" spans="1:23" s="5" customFormat="1" ht="14.1" customHeight="1">
      <c r="A177" s="296"/>
      <c r="B177" s="296"/>
      <c r="C177" s="296"/>
      <c r="D177" s="431"/>
      <c r="E177" s="419"/>
      <c r="F177" s="419"/>
      <c r="G177" s="432"/>
      <c r="H177" s="433"/>
      <c r="I177" s="183" t="s">
        <v>242</v>
      </c>
      <c r="J177" s="225">
        <v>20000</v>
      </c>
      <c r="K177" s="225" t="s">
        <v>20</v>
      </c>
      <c r="L177" s="181">
        <v>5</v>
      </c>
      <c r="M177" s="181" t="s">
        <v>67</v>
      </c>
      <c r="N177" s="181" t="s">
        <v>20</v>
      </c>
      <c r="O177" s="245">
        <v>2</v>
      </c>
      <c r="P177" s="225" t="s">
        <v>21</v>
      </c>
      <c r="Q177" s="239" t="s">
        <v>4</v>
      </c>
      <c r="R177" s="206">
        <f>J177*L177*O177</f>
        <v>200000</v>
      </c>
      <c r="S177" s="81"/>
      <c r="T177" s="81"/>
      <c r="U177" s="81"/>
      <c r="V177" s="81"/>
      <c r="W177" s="81"/>
    </row>
    <row r="178" spans="1:23" s="5" customFormat="1" ht="14.1" customHeight="1">
      <c r="A178" s="296"/>
      <c r="B178" s="296"/>
      <c r="C178" s="296"/>
      <c r="D178" s="431"/>
      <c r="E178" s="419"/>
      <c r="F178" s="419"/>
      <c r="G178" s="432"/>
      <c r="H178" s="433"/>
      <c r="I178" s="183" t="s">
        <v>18</v>
      </c>
      <c r="J178" s="184">
        <v>8000</v>
      </c>
      <c r="K178" s="181" t="s">
        <v>20</v>
      </c>
      <c r="L178" s="181">
        <v>10</v>
      </c>
      <c r="M178" s="181" t="s">
        <v>67</v>
      </c>
      <c r="N178" s="181" t="s">
        <v>20</v>
      </c>
      <c r="O178" s="245">
        <v>6</v>
      </c>
      <c r="P178" s="181" t="s">
        <v>21</v>
      </c>
      <c r="Q178" s="176" t="s">
        <v>4</v>
      </c>
      <c r="R178" s="177">
        <f>J178*L178*O178</f>
        <v>480000</v>
      </c>
      <c r="S178" s="81"/>
      <c r="T178" s="81"/>
      <c r="U178" s="81"/>
      <c r="V178" s="81"/>
      <c r="W178" s="81"/>
    </row>
    <row r="179" spans="1:23" s="5" customFormat="1" ht="14.1" customHeight="1">
      <c r="A179" s="296"/>
      <c r="B179" s="296"/>
      <c r="C179" s="296"/>
      <c r="D179" s="431"/>
      <c r="E179" s="419"/>
      <c r="F179" s="419"/>
      <c r="G179" s="432"/>
      <c r="H179" s="433"/>
      <c r="I179" s="183" t="s">
        <v>252</v>
      </c>
      <c r="J179" s="181">
        <v>30000</v>
      </c>
      <c r="K179" s="181" t="s">
        <v>20</v>
      </c>
      <c r="L179" s="181">
        <v>6</v>
      </c>
      <c r="M179" s="181" t="s">
        <v>241</v>
      </c>
      <c r="N179" s="181"/>
      <c r="O179" s="245"/>
      <c r="P179" s="181"/>
      <c r="Q179" s="176" t="s">
        <v>4</v>
      </c>
      <c r="R179" s="182">
        <f>J179*L179</f>
        <v>180000</v>
      </c>
      <c r="S179" s="81"/>
      <c r="T179" s="81"/>
      <c r="U179" s="81"/>
      <c r="V179" s="81"/>
      <c r="W179" s="81"/>
    </row>
    <row r="180" spans="1:23" s="5" customFormat="1" ht="14.1" customHeight="1">
      <c r="A180" s="296"/>
      <c r="B180" s="296"/>
      <c r="C180" s="296"/>
      <c r="D180" s="431"/>
      <c r="E180" s="419"/>
      <c r="F180" s="419"/>
      <c r="G180" s="432"/>
      <c r="H180" s="433"/>
      <c r="I180" s="183" t="s">
        <v>253</v>
      </c>
      <c r="J180" s="225">
        <v>10000</v>
      </c>
      <c r="K180" s="225" t="s">
        <v>20</v>
      </c>
      <c r="L180" s="181">
        <v>34</v>
      </c>
      <c r="M180" s="181" t="s">
        <v>67</v>
      </c>
      <c r="N180" s="181" t="s">
        <v>20</v>
      </c>
      <c r="O180" s="245">
        <v>3</v>
      </c>
      <c r="P180" s="225" t="s">
        <v>21</v>
      </c>
      <c r="Q180" s="239" t="s">
        <v>4</v>
      </c>
      <c r="R180" s="206">
        <f t="shared" ref="R180:R185" si="8">J180*L180*O180</f>
        <v>1020000</v>
      </c>
      <c r="S180" s="81"/>
      <c r="T180" s="81"/>
      <c r="U180" s="81"/>
      <c r="V180" s="81"/>
      <c r="W180" s="81"/>
    </row>
    <row r="181" spans="1:23" s="5" customFormat="1" ht="14.1" customHeight="1">
      <c r="A181" s="296"/>
      <c r="B181" s="296"/>
      <c r="C181" s="296"/>
      <c r="D181" s="431"/>
      <c r="E181" s="419"/>
      <c r="F181" s="419"/>
      <c r="G181" s="432"/>
      <c r="H181" s="433"/>
      <c r="I181" s="183" t="s">
        <v>255</v>
      </c>
      <c r="J181" s="225">
        <v>70000</v>
      </c>
      <c r="K181" s="225" t="s">
        <v>20</v>
      </c>
      <c r="L181" s="181">
        <v>9</v>
      </c>
      <c r="M181" s="181" t="s">
        <v>254</v>
      </c>
      <c r="N181" s="181" t="s">
        <v>20</v>
      </c>
      <c r="O181" s="245">
        <v>1</v>
      </c>
      <c r="P181" s="225" t="s">
        <v>21</v>
      </c>
      <c r="Q181" s="239" t="s">
        <v>4</v>
      </c>
      <c r="R181" s="206">
        <f t="shared" si="8"/>
        <v>630000</v>
      </c>
      <c r="S181" s="81"/>
      <c r="T181" s="81"/>
      <c r="U181" s="81"/>
      <c r="V181" s="81"/>
      <c r="W181" s="81"/>
    </row>
    <row r="182" spans="1:23" s="5" customFormat="1" ht="14.1" customHeight="1">
      <c r="A182" s="296"/>
      <c r="B182" s="296"/>
      <c r="C182" s="296"/>
      <c r="D182" s="431"/>
      <c r="E182" s="420"/>
      <c r="F182" s="420"/>
      <c r="G182" s="432"/>
      <c r="H182" s="433"/>
      <c r="I182" s="183" t="s">
        <v>256</v>
      </c>
      <c r="J182" s="225">
        <v>500000</v>
      </c>
      <c r="K182" s="225" t="s">
        <v>20</v>
      </c>
      <c r="L182" s="181">
        <v>1</v>
      </c>
      <c r="M182" s="181" t="s">
        <v>257</v>
      </c>
      <c r="N182" s="181" t="s">
        <v>20</v>
      </c>
      <c r="O182" s="245">
        <v>1</v>
      </c>
      <c r="P182" s="225" t="s">
        <v>21</v>
      </c>
      <c r="Q182" s="239" t="s">
        <v>4</v>
      </c>
      <c r="R182" s="206">
        <f t="shared" si="8"/>
        <v>500000</v>
      </c>
      <c r="S182" s="81"/>
      <c r="T182" s="81"/>
      <c r="U182" s="81"/>
      <c r="V182" s="81"/>
      <c r="W182" s="81"/>
    </row>
    <row r="183" spans="1:23" s="5" customFormat="1" ht="14.1" customHeight="1">
      <c r="A183" s="296"/>
      <c r="B183" s="296"/>
      <c r="C183" s="296"/>
      <c r="D183" s="431"/>
      <c r="E183" s="418">
        <v>128</v>
      </c>
      <c r="F183" s="418">
        <v>5138</v>
      </c>
      <c r="G183" s="432"/>
      <c r="H183" s="433"/>
      <c r="I183" s="183" t="s">
        <v>258</v>
      </c>
      <c r="J183" s="225">
        <v>350000</v>
      </c>
      <c r="K183" s="225" t="s">
        <v>20</v>
      </c>
      <c r="L183" s="181">
        <v>1</v>
      </c>
      <c r="M183" s="181" t="s">
        <v>67</v>
      </c>
      <c r="N183" s="181" t="s">
        <v>20</v>
      </c>
      <c r="O183" s="245">
        <v>1</v>
      </c>
      <c r="P183" s="225" t="s">
        <v>21</v>
      </c>
      <c r="Q183" s="239" t="s">
        <v>4</v>
      </c>
      <c r="R183" s="206">
        <f t="shared" si="8"/>
        <v>350000</v>
      </c>
      <c r="S183" s="81"/>
      <c r="T183" s="81"/>
      <c r="U183" s="81"/>
      <c r="V183" s="81"/>
      <c r="W183" s="81"/>
    </row>
    <row r="184" spans="1:23" s="5" customFormat="1" ht="14.1" customHeight="1">
      <c r="A184" s="296"/>
      <c r="B184" s="296"/>
      <c r="C184" s="296"/>
      <c r="D184" s="431"/>
      <c r="E184" s="419"/>
      <c r="F184" s="419"/>
      <c r="G184" s="432"/>
      <c r="H184" s="433"/>
      <c r="I184" s="183" t="s">
        <v>259</v>
      </c>
      <c r="J184" s="225">
        <v>5000</v>
      </c>
      <c r="K184" s="225" t="s">
        <v>20</v>
      </c>
      <c r="L184" s="181">
        <v>34</v>
      </c>
      <c r="M184" s="181" t="s">
        <v>67</v>
      </c>
      <c r="N184" s="181" t="s">
        <v>20</v>
      </c>
      <c r="O184" s="245">
        <v>1</v>
      </c>
      <c r="P184" s="225" t="s">
        <v>21</v>
      </c>
      <c r="Q184" s="239" t="s">
        <v>4</v>
      </c>
      <c r="R184" s="206">
        <f t="shared" si="8"/>
        <v>170000</v>
      </c>
      <c r="S184" s="81"/>
      <c r="T184" s="81"/>
      <c r="U184" s="81"/>
      <c r="V184" s="81"/>
      <c r="W184" s="81"/>
    </row>
    <row r="185" spans="1:23" s="5" customFormat="1" ht="14.1" customHeight="1">
      <c r="A185" s="296"/>
      <c r="B185" s="296"/>
      <c r="C185" s="296"/>
      <c r="D185" s="431"/>
      <c r="E185" s="419"/>
      <c r="F185" s="419"/>
      <c r="G185" s="432"/>
      <c r="H185" s="433"/>
      <c r="I185" s="183" t="s">
        <v>260</v>
      </c>
      <c r="J185" s="225">
        <v>30000</v>
      </c>
      <c r="K185" s="225" t="s">
        <v>20</v>
      </c>
      <c r="L185" s="181">
        <v>34</v>
      </c>
      <c r="M185" s="181" t="s">
        <v>67</v>
      </c>
      <c r="N185" s="181" t="s">
        <v>20</v>
      </c>
      <c r="O185" s="245">
        <v>1</v>
      </c>
      <c r="P185" s="225" t="s">
        <v>21</v>
      </c>
      <c r="Q185" s="239" t="s">
        <v>4</v>
      </c>
      <c r="R185" s="206">
        <f t="shared" si="8"/>
        <v>1020000</v>
      </c>
      <c r="S185" s="81"/>
      <c r="T185" s="81"/>
      <c r="U185" s="81"/>
      <c r="V185" s="81"/>
      <c r="W185" s="81"/>
    </row>
    <row r="186" spans="1:23" s="5" customFormat="1" ht="14.1" customHeight="1">
      <c r="A186" s="296"/>
      <c r="B186" s="296"/>
      <c r="C186" s="296"/>
      <c r="D186" s="431"/>
      <c r="E186" s="419"/>
      <c r="F186" s="419"/>
      <c r="G186" s="432"/>
      <c r="H186" s="433"/>
      <c r="I186" s="183" t="s">
        <v>261</v>
      </c>
      <c r="J186" s="225">
        <v>100000</v>
      </c>
      <c r="K186" s="225"/>
      <c r="L186" s="181"/>
      <c r="M186" s="181"/>
      <c r="N186" s="181" t="s">
        <v>20</v>
      </c>
      <c r="O186" s="245">
        <v>1</v>
      </c>
      <c r="P186" s="225" t="s">
        <v>21</v>
      </c>
      <c r="Q186" s="239" t="s">
        <v>4</v>
      </c>
      <c r="R186" s="206">
        <f>J186*O186</f>
        <v>100000</v>
      </c>
      <c r="S186" s="81"/>
      <c r="T186" s="81"/>
      <c r="U186" s="81"/>
      <c r="V186" s="81"/>
      <c r="W186" s="81"/>
    </row>
    <row r="187" spans="1:23" s="5" customFormat="1" ht="14.1" customHeight="1">
      <c r="A187" s="296"/>
      <c r="B187" s="296"/>
      <c r="C187" s="296"/>
      <c r="D187" s="431"/>
      <c r="E187" s="419"/>
      <c r="F187" s="419"/>
      <c r="G187" s="432"/>
      <c r="H187" s="433"/>
      <c r="I187" s="183" t="s">
        <v>262</v>
      </c>
      <c r="J187" s="225">
        <v>2000</v>
      </c>
      <c r="K187" s="225" t="s">
        <v>20</v>
      </c>
      <c r="L187" s="181">
        <v>34</v>
      </c>
      <c r="M187" s="181" t="s">
        <v>67</v>
      </c>
      <c r="N187" s="181" t="s">
        <v>20</v>
      </c>
      <c r="O187" s="245">
        <v>1</v>
      </c>
      <c r="P187" s="225" t="s">
        <v>21</v>
      </c>
      <c r="Q187" s="239" t="s">
        <v>4</v>
      </c>
      <c r="R187" s="206">
        <f>J187*L187*O187</f>
        <v>68000</v>
      </c>
      <c r="S187" s="81"/>
      <c r="T187" s="81"/>
      <c r="U187" s="81"/>
      <c r="V187" s="81"/>
      <c r="W187" s="81"/>
    </row>
    <row r="188" spans="1:23" s="5" customFormat="1" ht="14.1" customHeight="1">
      <c r="A188" s="296"/>
      <c r="B188" s="296"/>
      <c r="C188" s="296"/>
      <c r="D188" s="431"/>
      <c r="E188" s="419"/>
      <c r="F188" s="419"/>
      <c r="G188" s="432"/>
      <c r="H188" s="433"/>
      <c r="I188" s="183" t="s">
        <v>263</v>
      </c>
      <c r="J188" s="225">
        <v>20000</v>
      </c>
      <c r="K188" s="225" t="s">
        <v>20</v>
      </c>
      <c r="L188" s="181">
        <v>5</v>
      </c>
      <c r="M188" s="181" t="s">
        <v>67</v>
      </c>
      <c r="N188" s="181" t="s">
        <v>20</v>
      </c>
      <c r="O188" s="245">
        <v>1</v>
      </c>
      <c r="P188" s="225" t="s">
        <v>21</v>
      </c>
      <c r="Q188" s="239" t="s">
        <v>4</v>
      </c>
      <c r="R188" s="206">
        <f>J188*L188*O188</f>
        <v>100000</v>
      </c>
      <c r="S188" s="81"/>
      <c r="T188" s="81"/>
      <c r="U188" s="81"/>
      <c r="V188" s="81"/>
      <c r="W188" s="81"/>
    </row>
    <row r="189" spans="1:23" s="5" customFormat="1" ht="14.1" customHeight="1">
      <c r="A189" s="296"/>
      <c r="B189" s="296"/>
      <c r="C189" s="296"/>
      <c r="D189" s="431"/>
      <c r="E189" s="419"/>
      <c r="F189" s="419"/>
      <c r="G189" s="432"/>
      <c r="H189" s="433"/>
      <c r="I189" s="185"/>
      <c r="J189" s="185"/>
      <c r="K189" s="185"/>
      <c r="L189" s="185"/>
      <c r="M189" s="185"/>
      <c r="N189" s="185"/>
      <c r="O189" s="185"/>
      <c r="P189" s="185"/>
      <c r="Q189" s="186" t="s">
        <v>9</v>
      </c>
      <c r="R189" s="187">
        <f>SUM(R178:R179)</f>
        <v>660000</v>
      </c>
      <c r="S189" s="81"/>
      <c r="T189" s="81"/>
      <c r="U189" s="81"/>
      <c r="V189" s="81"/>
      <c r="W189" s="81"/>
    </row>
    <row r="190" spans="1:23" s="5" customFormat="1" ht="14.1" customHeight="1">
      <c r="A190" s="259"/>
      <c r="B190" s="259"/>
      <c r="C190" s="259"/>
      <c r="D190" s="423"/>
      <c r="E190" s="420"/>
      <c r="F190" s="420"/>
      <c r="G190" s="427"/>
      <c r="H190" s="429"/>
      <c r="I190" s="152"/>
      <c r="J190" s="153"/>
      <c r="K190" s="153"/>
      <c r="L190" s="153"/>
      <c r="M190" s="153"/>
      <c r="N190" s="153"/>
      <c r="O190" s="153"/>
      <c r="P190" s="153"/>
      <c r="Q190" s="99"/>
      <c r="R190" s="109">
        <f>SUM(R180:R188)+SUM(R175:R177)</f>
        <v>5138000</v>
      </c>
      <c r="S190" s="81"/>
      <c r="T190" s="81"/>
      <c r="U190" s="81"/>
      <c r="V190" s="81"/>
      <c r="W190" s="81"/>
    </row>
    <row r="191" spans="1:23" s="5" customFormat="1" ht="16.5" customHeight="1">
      <c r="A191" s="296"/>
      <c r="B191" s="296"/>
      <c r="C191" s="424" t="s">
        <v>243</v>
      </c>
      <c r="D191" s="292"/>
      <c r="E191" s="274">
        <f>E193</f>
        <v>27987</v>
      </c>
      <c r="F191" s="274">
        <f>F193</f>
        <v>29040</v>
      </c>
      <c r="G191" s="426">
        <f>F191+F192-E191-E192</f>
        <v>1060</v>
      </c>
      <c r="H191" s="428">
        <f>G191/E191:E192</f>
        <v>3.7874727552077748E-2</v>
      </c>
      <c r="I191" s="203"/>
      <c r="J191" s="204"/>
      <c r="K191" s="204"/>
      <c r="L191" s="204"/>
      <c r="M191" s="204"/>
      <c r="N191" s="204"/>
      <c r="O191" s="204"/>
      <c r="P191" s="204"/>
      <c r="Q191" s="110"/>
      <c r="R191" s="174">
        <f>R198</f>
        <v>29040000</v>
      </c>
      <c r="S191" s="81"/>
      <c r="T191" s="81"/>
      <c r="U191" s="81"/>
      <c r="V191" s="81"/>
      <c r="W191" s="81"/>
    </row>
    <row r="192" spans="1:23" s="5" customFormat="1" ht="16.5" customHeight="1">
      <c r="A192" s="296"/>
      <c r="B192" s="296"/>
      <c r="C192" s="425"/>
      <c r="D192" s="293"/>
      <c r="E192" s="274">
        <f>E196</f>
        <v>423</v>
      </c>
      <c r="F192" s="274">
        <f>F196</f>
        <v>430</v>
      </c>
      <c r="G192" s="427"/>
      <c r="H192" s="429"/>
      <c r="I192" s="152"/>
      <c r="J192" s="205"/>
      <c r="K192" s="205"/>
      <c r="L192" s="205"/>
      <c r="M192" s="205"/>
      <c r="N192" s="205"/>
      <c r="O192" s="205"/>
      <c r="P192" s="205"/>
      <c r="Q192" s="99"/>
      <c r="R192" s="202">
        <f>R199</f>
        <v>430000</v>
      </c>
      <c r="S192" s="81"/>
      <c r="T192" s="81"/>
      <c r="U192" s="81"/>
      <c r="V192" s="81"/>
      <c r="W192" s="81"/>
    </row>
    <row r="193" spans="1:23" s="5" customFormat="1" ht="16.5" customHeight="1">
      <c r="A193" s="296"/>
      <c r="B193" s="296"/>
      <c r="C193" s="430"/>
      <c r="D193" s="431" t="s">
        <v>295</v>
      </c>
      <c r="E193" s="419">
        <v>27987</v>
      </c>
      <c r="F193" s="419">
        <f>R198/1000</f>
        <v>29040</v>
      </c>
      <c r="G193" s="432">
        <f>F193+F196-E196-E193</f>
        <v>1060</v>
      </c>
      <c r="H193" s="433">
        <f>G193/E193:E199</f>
        <v>3.7874727552077748E-2</v>
      </c>
      <c r="I193" s="96" t="s">
        <v>68</v>
      </c>
      <c r="J193" s="107">
        <v>33000</v>
      </c>
      <c r="K193" s="96" t="s">
        <v>20</v>
      </c>
      <c r="L193" s="417" t="s">
        <v>244</v>
      </c>
      <c r="M193" s="417"/>
      <c r="N193" s="144" t="s">
        <v>20</v>
      </c>
      <c r="O193" s="144">
        <v>12</v>
      </c>
      <c r="P193" s="243" t="s">
        <v>64</v>
      </c>
      <c r="Q193" s="96" t="s">
        <v>4</v>
      </c>
      <c r="R193" s="145">
        <f>J193*20*3*12</f>
        <v>23760000</v>
      </c>
      <c r="S193" s="81"/>
      <c r="T193" s="81"/>
      <c r="U193" s="81"/>
      <c r="V193" s="81"/>
      <c r="W193" s="81"/>
    </row>
    <row r="194" spans="1:23" s="5" customFormat="1" ht="16.5" customHeight="1">
      <c r="A194" s="296"/>
      <c r="B194" s="296"/>
      <c r="C194" s="430"/>
      <c r="D194" s="431"/>
      <c r="E194" s="419"/>
      <c r="F194" s="419"/>
      <c r="G194" s="432"/>
      <c r="H194" s="433"/>
      <c r="I194" s="96" t="s">
        <v>69</v>
      </c>
      <c r="J194" s="107">
        <v>22000</v>
      </c>
      <c r="K194" s="96" t="s">
        <v>20</v>
      </c>
      <c r="L194" s="417" t="s">
        <v>251</v>
      </c>
      <c r="M194" s="417"/>
      <c r="N194" s="144" t="s">
        <v>20</v>
      </c>
      <c r="O194" s="144">
        <v>12</v>
      </c>
      <c r="P194" s="243" t="s">
        <v>64</v>
      </c>
      <c r="Q194" s="96" t="s">
        <v>4</v>
      </c>
      <c r="R194" s="145">
        <f>J194*10*2*12</f>
        <v>5280000</v>
      </c>
      <c r="S194" s="81"/>
      <c r="T194" s="81"/>
      <c r="U194" s="81"/>
      <c r="V194" s="81"/>
      <c r="W194" s="81"/>
    </row>
    <row r="195" spans="1:23" s="5" customFormat="1" ht="16.5" customHeight="1">
      <c r="A195" s="296"/>
      <c r="B195" s="296"/>
      <c r="C195" s="430"/>
      <c r="D195" s="431"/>
      <c r="E195" s="420"/>
      <c r="F195" s="420"/>
      <c r="G195" s="432"/>
      <c r="H195" s="433"/>
      <c r="I195" s="96" t="s">
        <v>17</v>
      </c>
      <c r="J195" s="146">
        <v>20000</v>
      </c>
      <c r="K195" s="96" t="s">
        <v>20</v>
      </c>
      <c r="L195" s="96">
        <v>10</v>
      </c>
      <c r="M195" s="144" t="s">
        <v>67</v>
      </c>
      <c r="N195" s="144" t="s">
        <v>20</v>
      </c>
      <c r="O195" s="144">
        <v>2</v>
      </c>
      <c r="P195" s="243" t="s">
        <v>21</v>
      </c>
      <c r="Q195" s="96" t="s">
        <v>4</v>
      </c>
      <c r="R195" s="147">
        <f>J195*L195*O195</f>
        <v>400000</v>
      </c>
      <c r="S195" s="81"/>
      <c r="T195" s="81"/>
      <c r="U195" s="81"/>
      <c r="V195" s="81"/>
      <c r="W195" s="81"/>
    </row>
    <row r="196" spans="1:23" s="5" customFormat="1" ht="16.5" customHeight="1">
      <c r="A196" s="296"/>
      <c r="B196" s="296"/>
      <c r="C196" s="430"/>
      <c r="D196" s="431"/>
      <c r="E196" s="418">
        <v>423</v>
      </c>
      <c r="F196" s="418">
        <f>R199/1000</f>
        <v>430</v>
      </c>
      <c r="G196" s="432"/>
      <c r="H196" s="433"/>
      <c r="I196" s="96" t="s">
        <v>25</v>
      </c>
      <c r="J196" s="146">
        <v>30000</v>
      </c>
      <c r="K196" s="97" t="s">
        <v>20</v>
      </c>
      <c r="L196" s="96">
        <v>1</v>
      </c>
      <c r="M196" s="97" t="s">
        <v>15</v>
      </c>
      <c r="N196" s="97"/>
      <c r="O196" s="97"/>
      <c r="P196" s="148"/>
      <c r="Q196" s="96" t="s">
        <v>4</v>
      </c>
      <c r="R196" s="147">
        <f>J196*L196</f>
        <v>30000</v>
      </c>
      <c r="S196" s="81"/>
      <c r="T196" s="81"/>
      <c r="U196" s="81"/>
      <c r="V196" s="81"/>
      <c r="W196" s="81"/>
    </row>
    <row r="197" spans="1:23" s="5" customFormat="1" ht="16.5" customHeight="1">
      <c r="A197" s="296"/>
      <c r="B197" s="296"/>
      <c r="C197" s="430"/>
      <c r="D197" s="294"/>
      <c r="E197" s="419"/>
      <c r="F197" s="419"/>
      <c r="G197" s="432"/>
      <c r="H197" s="433"/>
      <c r="I197" s="96"/>
      <c r="J197" s="146"/>
      <c r="K197" s="97"/>
      <c r="L197" s="96"/>
      <c r="M197" s="97"/>
      <c r="N197" s="97"/>
      <c r="O197" s="97"/>
      <c r="P197" s="148"/>
      <c r="Q197" s="96"/>
      <c r="R197" s="147"/>
      <c r="S197" s="81"/>
      <c r="T197" s="81"/>
      <c r="U197" s="81"/>
      <c r="V197" s="81"/>
      <c r="W197" s="81"/>
    </row>
    <row r="198" spans="1:23" s="5" customFormat="1" ht="16.5" customHeight="1">
      <c r="A198" s="296"/>
      <c r="B198" s="296"/>
      <c r="C198" s="430"/>
      <c r="D198" s="294"/>
      <c r="E198" s="419"/>
      <c r="F198" s="419"/>
      <c r="G198" s="432"/>
      <c r="H198" s="433"/>
      <c r="I198" s="96"/>
      <c r="J198" s="146"/>
      <c r="K198" s="97"/>
      <c r="L198" s="96"/>
      <c r="M198" s="97"/>
      <c r="N198" s="97"/>
      <c r="O198" s="97"/>
      <c r="P198" s="148"/>
      <c r="Q198" s="96" t="s">
        <v>9</v>
      </c>
      <c r="R198" s="177">
        <f>SUM(R193:R194)</f>
        <v>29040000</v>
      </c>
      <c r="S198" s="81"/>
      <c r="T198" s="81"/>
      <c r="U198" s="81"/>
      <c r="V198" s="81"/>
      <c r="W198" s="81"/>
    </row>
    <row r="199" spans="1:23" s="5" customFormat="1" ht="16.5" customHeight="1">
      <c r="A199" s="259"/>
      <c r="B199" s="259"/>
      <c r="C199" s="430"/>
      <c r="D199" s="295"/>
      <c r="E199" s="420"/>
      <c r="F199" s="420"/>
      <c r="G199" s="427"/>
      <c r="H199" s="429"/>
      <c r="I199" s="99"/>
      <c r="J199" s="421"/>
      <c r="K199" s="421"/>
      <c r="L199" s="421"/>
      <c r="M199" s="421"/>
      <c r="N199" s="421"/>
      <c r="O199" s="421"/>
      <c r="P199" s="421"/>
      <c r="Q199" s="99"/>
      <c r="R199" s="109">
        <f>SUM(R195:R196)</f>
        <v>430000</v>
      </c>
      <c r="S199" s="81"/>
      <c r="T199" s="81"/>
      <c r="U199" s="81"/>
      <c r="V199" s="81"/>
      <c r="W199" s="81"/>
    </row>
    <row r="200" spans="1:23" ht="15.75" customHeight="1">
      <c r="A200" s="422" t="s">
        <v>22</v>
      </c>
      <c r="B200" s="408"/>
      <c r="C200" s="409"/>
      <c r="D200" s="409"/>
      <c r="E200" s="410">
        <f>E202</f>
        <v>20060</v>
      </c>
      <c r="F200" s="410">
        <f>F202</f>
        <v>35944.642999999996</v>
      </c>
      <c r="G200" s="412">
        <f>G202</f>
        <v>15884.643</v>
      </c>
      <c r="H200" s="414">
        <f>G200/E200</f>
        <v>0.79185658025922234</v>
      </c>
      <c r="I200" s="415"/>
      <c r="J200" s="320"/>
      <c r="K200" s="320"/>
      <c r="L200" s="320"/>
      <c r="M200" s="320"/>
      <c r="N200" s="320"/>
      <c r="O200" s="320"/>
      <c r="P200" s="320"/>
      <c r="Q200" s="320"/>
      <c r="R200" s="321"/>
    </row>
    <row r="201" spans="1:23" ht="15.75" customHeight="1">
      <c r="A201" s="423"/>
      <c r="B201" s="408"/>
      <c r="C201" s="409"/>
      <c r="D201" s="409"/>
      <c r="E201" s="411"/>
      <c r="F201" s="411"/>
      <c r="G201" s="413"/>
      <c r="H201" s="414"/>
      <c r="I201" s="416"/>
      <c r="J201" s="322"/>
      <c r="K201" s="322"/>
      <c r="L201" s="322"/>
      <c r="M201" s="322"/>
      <c r="N201" s="322"/>
      <c r="O201" s="322"/>
      <c r="P201" s="322"/>
      <c r="Q201" s="322"/>
      <c r="R201" s="209">
        <f>J204+J206</f>
        <v>35944643</v>
      </c>
    </row>
    <row r="202" spans="1:23" ht="15.75" customHeight="1">
      <c r="A202" s="408"/>
      <c r="B202" s="408" t="s">
        <v>245</v>
      </c>
      <c r="C202" s="409"/>
      <c r="D202" s="409"/>
      <c r="E202" s="410">
        <f>E204+E206</f>
        <v>20060</v>
      </c>
      <c r="F202" s="410">
        <f>F204+F206</f>
        <v>35944.642999999996</v>
      </c>
      <c r="G202" s="412">
        <f>G204+G206</f>
        <v>15884.643</v>
      </c>
      <c r="H202" s="414">
        <f>G202/E202</f>
        <v>0.79185658025922234</v>
      </c>
      <c r="I202" s="415"/>
      <c r="J202" s="404"/>
      <c r="K202" s="404"/>
      <c r="L202" s="404"/>
      <c r="M202" s="404"/>
      <c r="N202" s="404"/>
      <c r="O202" s="404"/>
      <c r="P202" s="404"/>
      <c r="Q202" s="404"/>
      <c r="R202" s="405"/>
    </row>
    <row r="203" spans="1:23" ht="15.75" customHeight="1">
      <c r="A203" s="408"/>
      <c r="B203" s="408"/>
      <c r="C203" s="409"/>
      <c r="D203" s="409"/>
      <c r="E203" s="411"/>
      <c r="F203" s="411"/>
      <c r="G203" s="413"/>
      <c r="H203" s="414"/>
      <c r="I203" s="416"/>
      <c r="J203" s="406"/>
      <c r="K203" s="406"/>
      <c r="L203" s="406"/>
      <c r="M203" s="406"/>
      <c r="N203" s="406"/>
      <c r="O203" s="406"/>
      <c r="P203" s="406"/>
      <c r="Q203" s="406"/>
      <c r="R203" s="407"/>
    </row>
    <row r="204" spans="1:23" ht="15.75" customHeight="1">
      <c r="A204" s="408"/>
      <c r="B204" s="408"/>
      <c r="C204" s="409" t="s">
        <v>246</v>
      </c>
      <c r="D204" s="409" t="s">
        <v>246</v>
      </c>
      <c r="E204" s="410">
        <v>20000</v>
      </c>
      <c r="F204" s="410">
        <f>J204/1000</f>
        <v>20000</v>
      </c>
      <c r="G204" s="412">
        <f>F204-E204</f>
        <v>0</v>
      </c>
      <c r="H204" s="414">
        <f>G204/E204</f>
        <v>0</v>
      </c>
      <c r="I204" s="415" t="s">
        <v>247</v>
      </c>
      <c r="J204" s="404">
        <v>20000000</v>
      </c>
      <c r="K204" s="404"/>
      <c r="L204" s="404"/>
      <c r="M204" s="404"/>
      <c r="N204" s="404"/>
      <c r="O204" s="404"/>
      <c r="P204" s="404"/>
      <c r="Q204" s="404"/>
      <c r="R204" s="405"/>
    </row>
    <row r="205" spans="1:23" ht="15.75" customHeight="1">
      <c r="A205" s="408"/>
      <c r="B205" s="408"/>
      <c r="C205" s="409"/>
      <c r="D205" s="409"/>
      <c r="E205" s="411"/>
      <c r="F205" s="411"/>
      <c r="G205" s="413"/>
      <c r="H205" s="414"/>
      <c r="I205" s="416"/>
      <c r="J205" s="406"/>
      <c r="K205" s="406"/>
      <c r="L205" s="406"/>
      <c r="M205" s="406"/>
      <c r="N205" s="406"/>
      <c r="O205" s="406"/>
      <c r="P205" s="406"/>
      <c r="Q205" s="406"/>
      <c r="R205" s="407"/>
    </row>
    <row r="206" spans="1:23" ht="15.75" customHeight="1">
      <c r="A206" s="408"/>
      <c r="B206" s="408"/>
      <c r="C206" s="409" t="s">
        <v>248</v>
      </c>
      <c r="D206" s="409" t="s">
        <v>249</v>
      </c>
      <c r="E206" s="410">
        <v>60</v>
      </c>
      <c r="F206" s="410">
        <f>J206/1000</f>
        <v>15944.643</v>
      </c>
      <c r="G206" s="412">
        <f>F206-E206</f>
        <v>15884.643</v>
      </c>
      <c r="H206" s="414">
        <f>G206/E206</f>
        <v>264.74405000000002</v>
      </c>
      <c r="I206" s="415" t="s">
        <v>271</v>
      </c>
      <c r="J206" s="404">
        <v>15944643</v>
      </c>
      <c r="K206" s="404"/>
      <c r="L206" s="404"/>
      <c r="M206" s="404"/>
      <c r="N206" s="404"/>
      <c r="O206" s="404"/>
      <c r="P206" s="404"/>
      <c r="Q206" s="404"/>
      <c r="R206" s="405"/>
    </row>
    <row r="207" spans="1:23" ht="15.75" customHeight="1">
      <c r="A207" s="408"/>
      <c r="B207" s="408"/>
      <c r="C207" s="409"/>
      <c r="D207" s="409"/>
      <c r="E207" s="411"/>
      <c r="F207" s="411"/>
      <c r="G207" s="413"/>
      <c r="H207" s="414"/>
      <c r="I207" s="416"/>
      <c r="J207" s="406"/>
      <c r="K207" s="406"/>
      <c r="L207" s="406"/>
      <c r="M207" s="406"/>
      <c r="N207" s="406"/>
      <c r="O207" s="406"/>
      <c r="P207" s="406"/>
      <c r="Q207" s="406"/>
      <c r="R207" s="407"/>
    </row>
    <row r="228" ht="16.5" customHeight="1"/>
    <row r="231" ht="16.5" customHeight="1"/>
  </sheetData>
  <mergeCells count="288">
    <mergeCell ref="L143:M143"/>
    <mergeCell ref="L144:M144"/>
    <mergeCell ref="F143:F148"/>
    <mergeCell ref="E143:E148"/>
    <mergeCell ref="F149:F157"/>
    <mergeCell ref="E149:E157"/>
    <mergeCell ref="G158:G165"/>
    <mergeCell ref="H158:H165"/>
    <mergeCell ref="G143:G157"/>
    <mergeCell ref="H143:H157"/>
    <mergeCell ref="E158:E160"/>
    <mergeCell ref="F158:F160"/>
    <mergeCell ref="F161:F165"/>
    <mergeCell ref="A5:A6"/>
    <mergeCell ref="B5:B6"/>
    <mergeCell ref="C5:C6"/>
    <mergeCell ref="D5:D6"/>
    <mergeCell ref="G5:G6"/>
    <mergeCell ref="H5:H6"/>
    <mergeCell ref="A1:R1"/>
    <mergeCell ref="A3:A4"/>
    <mergeCell ref="B3:B4"/>
    <mergeCell ref="C3:C4"/>
    <mergeCell ref="D3:D4"/>
    <mergeCell ref="G3:H3"/>
    <mergeCell ref="I3:R4"/>
    <mergeCell ref="I7:I8"/>
    <mergeCell ref="R7:R8"/>
    <mergeCell ref="A9:A10"/>
    <mergeCell ref="B9:B10"/>
    <mergeCell ref="C9:C10"/>
    <mergeCell ref="D9:D10"/>
    <mergeCell ref="G9:G10"/>
    <mergeCell ref="H9:H10"/>
    <mergeCell ref="I9:I10"/>
    <mergeCell ref="R9:R10"/>
    <mergeCell ref="A7:A8"/>
    <mergeCell ref="B7:B8"/>
    <mergeCell ref="C7:C8"/>
    <mergeCell ref="D7:D8"/>
    <mergeCell ref="G7:G8"/>
    <mergeCell ref="H7:H8"/>
    <mergeCell ref="I11:I12"/>
    <mergeCell ref="R11:R12"/>
    <mergeCell ref="A13:A14"/>
    <mergeCell ref="B13:B14"/>
    <mergeCell ref="C13:C14"/>
    <mergeCell ref="D13:D14"/>
    <mergeCell ref="G13:G14"/>
    <mergeCell ref="H13:H14"/>
    <mergeCell ref="I13:I14"/>
    <mergeCell ref="R13:R14"/>
    <mergeCell ref="A11:A12"/>
    <mergeCell ref="B11:B12"/>
    <mergeCell ref="C11:C12"/>
    <mergeCell ref="D11:D12"/>
    <mergeCell ref="G11:G12"/>
    <mergeCell ref="H11:H12"/>
    <mergeCell ref="I15:I16"/>
    <mergeCell ref="R15:R16"/>
    <mergeCell ref="A18:A19"/>
    <mergeCell ref="B18:B19"/>
    <mergeCell ref="C18:C19"/>
    <mergeCell ref="D18:D19"/>
    <mergeCell ref="G18:H18"/>
    <mergeCell ref="I18:R19"/>
    <mergeCell ref="A15:A16"/>
    <mergeCell ref="B15:B16"/>
    <mergeCell ref="C15:C16"/>
    <mergeCell ref="D15:D16"/>
    <mergeCell ref="G15:G16"/>
    <mergeCell ref="H15:H16"/>
    <mergeCell ref="A20:A21"/>
    <mergeCell ref="B20:B21"/>
    <mergeCell ref="C20:C21"/>
    <mergeCell ref="G20:G21"/>
    <mergeCell ref="H20:H21"/>
    <mergeCell ref="A22:A23"/>
    <mergeCell ref="B22:B23"/>
    <mergeCell ref="C22:C23"/>
    <mergeCell ref="G22:G23"/>
    <mergeCell ref="H22:H23"/>
    <mergeCell ref="L51:N51"/>
    <mergeCell ref="A54:A55"/>
    <mergeCell ref="B54:B55"/>
    <mergeCell ref="C54:C55"/>
    <mergeCell ref="D54:D55"/>
    <mergeCell ref="G54:H54"/>
    <mergeCell ref="I54:R55"/>
    <mergeCell ref="B24:B25"/>
    <mergeCell ref="G24:G25"/>
    <mergeCell ref="H24:H25"/>
    <mergeCell ref="C26:C27"/>
    <mergeCell ref="G26:G27"/>
    <mergeCell ref="H26:H27"/>
    <mergeCell ref="C56:C57"/>
    <mergeCell ref="G56:G57"/>
    <mergeCell ref="H56:H57"/>
    <mergeCell ref="L61:P61"/>
    <mergeCell ref="L65:P65"/>
    <mergeCell ref="C69:C71"/>
    <mergeCell ref="D69:D71"/>
    <mergeCell ref="E69:E70"/>
    <mergeCell ref="F69:F70"/>
    <mergeCell ref="G69:G71"/>
    <mergeCell ref="I77:R78"/>
    <mergeCell ref="H69:H71"/>
    <mergeCell ref="C72:C75"/>
    <mergeCell ref="D72:D75"/>
    <mergeCell ref="E72:E73"/>
    <mergeCell ref="F72:F73"/>
    <mergeCell ref="G72:G75"/>
    <mergeCell ref="H72:H75"/>
    <mergeCell ref="E74:E75"/>
    <mergeCell ref="F74:F75"/>
    <mergeCell ref="H94:H95"/>
    <mergeCell ref="C100:C102"/>
    <mergeCell ref="G100:G102"/>
    <mergeCell ref="H100:H102"/>
    <mergeCell ref="E101:E102"/>
    <mergeCell ref="F101:F102"/>
    <mergeCell ref="A77:A78"/>
    <mergeCell ref="B77:B78"/>
    <mergeCell ref="C77:C78"/>
    <mergeCell ref="D77:D78"/>
    <mergeCell ref="G77:H77"/>
    <mergeCell ref="S86:Z87"/>
    <mergeCell ref="B90:B91"/>
    <mergeCell ref="G90:G91"/>
    <mergeCell ref="H90:H91"/>
    <mergeCell ref="C92:C93"/>
    <mergeCell ref="G92:G93"/>
    <mergeCell ref="H92:H93"/>
    <mergeCell ref="I104:R105"/>
    <mergeCell ref="A106:A107"/>
    <mergeCell ref="B106:B107"/>
    <mergeCell ref="C106:C107"/>
    <mergeCell ref="G106:G107"/>
    <mergeCell ref="H106:H107"/>
    <mergeCell ref="A79:A102"/>
    <mergeCell ref="C79:C82"/>
    <mergeCell ref="E79:E80"/>
    <mergeCell ref="F79:F80"/>
    <mergeCell ref="G79:G82"/>
    <mergeCell ref="H79:H82"/>
    <mergeCell ref="D80:D81"/>
    <mergeCell ref="E81:E82"/>
    <mergeCell ref="F81:F82"/>
    <mergeCell ref="C94:C95"/>
    <mergeCell ref="G94:G95"/>
    <mergeCell ref="C108:C109"/>
    <mergeCell ref="G108:G109"/>
    <mergeCell ref="H108:H109"/>
    <mergeCell ref="A104:A105"/>
    <mergeCell ref="B104:B105"/>
    <mergeCell ref="C104:C105"/>
    <mergeCell ref="D104:D105"/>
    <mergeCell ref="G104:H104"/>
    <mergeCell ref="A114:A115"/>
    <mergeCell ref="G114:G115"/>
    <mergeCell ref="H114:H115"/>
    <mergeCell ref="B116:B117"/>
    <mergeCell ref="G116:G117"/>
    <mergeCell ref="H116:H117"/>
    <mergeCell ref="C110:C113"/>
    <mergeCell ref="E110:E111"/>
    <mergeCell ref="F110:F111"/>
    <mergeCell ref="G110:G113"/>
    <mergeCell ref="H110:H113"/>
    <mergeCell ref="E112:E113"/>
    <mergeCell ref="F112:F113"/>
    <mergeCell ref="L120:M120"/>
    <mergeCell ref="L123:M123"/>
    <mergeCell ref="L124:M124"/>
    <mergeCell ref="L125:M125"/>
    <mergeCell ref="E127:E131"/>
    <mergeCell ref="F127:F131"/>
    <mergeCell ref="L127:M127"/>
    <mergeCell ref="L128:M128"/>
    <mergeCell ref="C118:C119"/>
    <mergeCell ref="G118:G119"/>
    <mergeCell ref="H118:H119"/>
    <mergeCell ref="D120:D131"/>
    <mergeCell ref="E120:E125"/>
    <mergeCell ref="F120:F125"/>
    <mergeCell ref="G120:G131"/>
    <mergeCell ref="H120:H131"/>
    <mergeCell ref="L121:M121"/>
    <mergeCell ref="L122:M122"/>
    <mergeCell ref="L126:M126"/>
    <mergeCell ref="A139:A140"/>
    <mergeCell ref="B139:B140"/>
    <mergeCell ref="C139:C140"/>
    <mergeCell ref="D139:D140"/>
    <mergeCell ref="G139:H139"/>
    <mergeCell ref="I139:R140"/>
    <mergeCell ref="G132:G137"/>
    <mergeCell ref="H132:H137"/>
    <mergeCell ref="L132:M132"/>
    <mergeCell ref="L133:M133"/>
    <mergeCell ref="E134:E137"/>
    <mergeCell ref="F134:F137"/>
    <mergeCell ref="L134:M134"/>
    <mergeCell ref="L136:M136"/>
    <mergeCell ref="A130:A132"/>
    <mergeCell ref="B131:B132"/>
    <mergeCell ref="C131:C132"/>
    <mergeCell ref="D132:D137"/>
    <mergeCell ref="E132:E133"/>
    <mergeCell ref="F132:F133"/>
    <mergeCell ref="D166:D167"/>
    <mergeCell ref="G166:G167"/>
    <mergeCell ref="H166:H167"/>
    <mergeCell ref="C141:C142"/>
    <mergeCell ref="G141:G142"/>
    <mergeCell ref="H141:H142"/>
    <mergeCell ref="D143:D157"/>
    <mergeCell ref="D168:D171"/>
    <mergeCell ref="E168:E169"/>
    <mergeCell ref="F168:F169"/>
    <mergeCell ref="G168:G171"/>
    <mergeCell ref="H168:H171"/>
    <mergeCell ref="E170:E171"/>
    <mergeCell ref="F170:F171"/>
    <mergeCell ref="D158:D165"/>
    <mergeCell ref="A173:A174"/>
    <mergeCell ref="B173:B174"/>
    <mergeCell ref="C173:C174"/>
    <mergeCell ref="D173:D174"/>
    <mergeCell ref="I173:R174"/>
    <mergeCell ref="D175:D190"/>
    <mergeCell ref="G175:G190"/>
    <mergeCell ref="H175:H190"/>
    <mergeCell ref="G173:H173"/>
    <mergeCell ref="E183:E190"/>
    <mergeCell ref="F183:F190"/>
    <mergeCell ref="E175:E182"/>
    <mergeCell ref="F175:F182"/>
    <mergeCell ref="C191:C192"/>
    <mergeCell ref="G191:G192"/>
    <mergeCell ref="H191:H192"/>
    <mergeCell ref="C193:C199"/>
    <mergeCell ref="D193:D196"/>
    <mergeCell ref="E193:E195"/>
    <mergeCell ref="F193:F195"/>
    <mergeCell ref="G193:G199"/>
    <mergeCell ref="H193:H199"/>
    <mergeCell ref="L193:M193"/>
    <mergeCell ref="L194:M194"/>
    <mergeCell ref="E196:E199"/>
    <mergeCell ref="F196:F199"/>
    <mergeCell ref="J199:P199"/>
    <mergeCell ref="A200:A201"/>
    <mergeCell ref="B200:B201"/>
    <mergeCell ref="C200:C201"/>
    <mergeCell ref="D200:D201"/>
    <mergeCell ref="E200:E201"/>
    <mergeCell ref="F200:F201"/>
    <mergeCell ref="G200:G201"/>
    <mergeCell ref="H200:H201"/>
    <mergeCell ref="I200:I201"/>
    <mergeCell ref="A202:A207"/>
    <mergeCell ref="B202:B203"/>
    <mergeCell ref="C202:C203"/>
    <mergeCell ref="D202:D203"/>
    <mergeCell ref="E202:E203"/>
    <mergeCell ref="F202:F203"/>
    <mergeCell ref="G202:G203"/>
    <mergeCell ref="H202:H203"/>
    <mergeCell ref="I202:I203"/>
    <mergeCell ref="J202:R203"/>
    <mergeCell ref="B204:B207"/>
    <mergeCell ref="C204:C205"/>
    <mergeCell ref="D204:D205"/>
    <mergeCell ref="E204:E205"/>
    <mergeCell ref="F204:F205"/>
    <mergeCell ref="G204:G205"/>
    <mergeCell ref="J206:R207"/>
    <mergeCell ref="H204:H205"/>
    <mergeCell ref="I204:I205"/>
    <mergeCell ref="J204:R205"/>
    <mergeCell ref="C206:C207"/>
    <mergeCell ref="D206:D207"/>
    <mergeCell ref="E206:E207"/>
    <mergeCell ref="F206:F207"/>
    <mergeCell ref="G206:G207"/>
    <mergeCell ref="H206:H207"/>
    <mergeCell ref="I206:I207"/>
  </mergeCells>
  <phoneticPr fontId="3" type="noConversion"/>
  <pageMargins left="0.25" right="0.17" top="0.4" bottom="0.22" header="0.3" footer="0.23"/>
  <pageSetup paperSize="9" scale="94" fitToHeight="0" orientation="landscape" r:id="rId1"/>
  <rowBreaks count="6" manualBreakCount="6">
    <brk id="16" max="16383" man="1"/>
    <brk id="52" max="17" man="1"/>
    <brk id="75" max="17" man="1"/>
    <brk id="102" max="17" man="1"/>
    <brk id="137" max="17" man="1"/>
    <brk id="171" max="17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세입.세출 총괄표</vt:lpstr>
      <vt:lpstr>2016년 세입세출</vt:lpstr>
      <vt:lpstr>Sheet1</vt:lpstr>
      <vt:lpstr>Sheet2</vt:lpstr>
      <vt:lpstr>Sheet3</vt:lpstr>
      <vt:lpstr>'2016년 세입세출'!Print_Area</vt:lpstr>
      <vt:lpstr>'세입.세출 총괄표'!Print_Area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2015-12-16T08:35:00Z</cp:lastPrinted>
  <dcterms:created xsi:type="dcterms:W3CDTF">2013-12-16T05:42:02Z</dcterms:created>
  <dcterms:modified xsi:type="dcterms:W3CDTF">2016-08-16T06:38:26Z</dcterms:modified>
</cp:coreProperties>
</file>